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GUS SURYANA\PERENCANAAN 2025\"/>
    </mc:Choice>
  </mc:AlternateContent>
  <xr:revisionPtr revIDLastSave="0" documentId="13_ncr:1_{7FC871D6-AD15-4EB3-BF79-37F538E43E67}" xr6:coauthVersionLast="47" xr6:coauthVersionMax="47" xr10:uidLastSave="{00000000-0000-0000-0000-000000000000}"/>
  <bookViews>
    <workbookView xWindow="-108" yWindow="-108" windowWidth="23256" windowHeight="12456" tabRatio="624" firstSheet="1" activeTab="1" xr2:uid="{00000000-000D-0000-FFFF-FFFF00000000}"/>
  </bookViews>
  <sheets>
    <sheet name="Sheet2" sheetId="13" state="hidden" r:id="rId1"/>
    <sheet name="TW 3 persub" sheetId="70" r:id="rId2"/>
    <sheet name="Sheet1" sheetId="68" r:id="rId3"/>
  </sheets>
  <externalReferences>
    <externalReference r:id="rId4"/>
  </externalReferences>
  <definedNames>
    <definedName name="_xlnm.Print_Area" localSheetId="1">'TW 3 persub'!$A$1:$Z$352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20" i="70" l="1"/>
  <c r="X206" i="70"/>
  <c r="X202" i="70"/>
  <c r="T123" i="70" l="1"/>
  <c r="T70" i="70"/>
  <c r="T329" i="70"/>
  <c r="T327" i="70"/>
  <c r="T320" i="70"/>
  <c r="T318" i="70"/>
  <c r="T316" i="70"/>
  <c r="T314" i="70"/>
  <c r="T312" i="70"/>
  <c r="T311" i="70"/>
  <c r="T309" i="70"/>
  <c r="T307" i="70"/>
  <c r="T305" i="70"/>
  <c r="T304" i="70"/>
  <c r="T302" i="70"/>
  <c r="T300" i="70"/>
  <c r="T298" i="70"/>
  <c r="T280" i="70"/>
  <c r="T278" i="70"/>
  <c r="T277" i="70"/>
  <c r="T275" i="70"/>
  <c r="V275" i="70" s="1"/>
  <c r="X275" i="70" s="1"/>
  <c r="T273" i="70"/>
  <c r="T271" i="70"/>
  <c r="V271" i="70" s="1"/>
  <c r="X271" i="70" s="1"/>
  <c r="T269" i="70"/>
  <c r="T267" i="70"/>
  <c r="T266" i="70"/>
  <c r="T265" i="70"/>
  <c r="T264" i="70"/>
  <c r="T263" i="70"/>
  <c r="T261" i="70"/>
  <c r="V261" i="70" s="1"/>
  <c r="X261" i="70" s="1"/>
  <c r="T259" i="70"/>
  <c r="V259" i="70" s="1"/>
  <c r="X259" i="70" s="1"/>
  <c r="T258" i="70"/>
  <c r="T257" i="70"/>
  <c r="T240" i="70"/>
  <c r="T238" i="70"/>
  <c r="T236" i="70"/>
  <c r="T234" i="70"/>
  <c r="T232" i="70"/>
  <c r="T230" i="70"/>
  <c r="T228" i="70"/>
  <c r="T226" i="70"/>
  <c r="T222" i="70"/>
  <c r="T220" i="70"/>
  <c r="T218" i="70"/>
  <c r="T216" i="70"/>
  <c r="T214" i="70"/>
  <c r="T212" i="70"/>
  <c r="T210" i="70"/>
  <c r="T208" i="70"/>
  <c r="T206" i="70"/>
  <c r="T204" i="70"/>
  <c r="T202" i="70"/>
  <c r="T200" i="70"/>
  <c r="T182" i="70"/>
  <c r="T180" i="70"/>
  <c r="T178" i="70"/>
  <c r="T176" i="70"/>
  <c r="T174" i="70"/>
  <c r="T172" i="70"/>
  <c r="T170" i="70"/>
  <c r="T168" i="70"/>
  <c r="T166" i="70"/>
  <c r="T165" i="70"/>
  <c r="T163" i="70"/>
  <c r="T161" i="70"/>
  <c r="T160" i="70"/>
  <c r="T158" i="70"/>
  <c r="T156" i="70"/>
  <c r="T154" i="70"/>
  <c r="T152" i="70"/>
  <c r="T150" i="70"/>
  <c r="T149" i="70"/>
  <c r="T147" i="70"/>
  <c r="T145" i="70"/>
  <c r="T143" i="70"/>
  <c r="T121" i="70"/>
  <c r="T119" i="70"/>
  <c r="T117" i="70"/>
  <c r="T115" i="70"/>
  <c r="T113" i="70"/>
  <c r="T112" i="70"/>
  <c r="T108" i="70"/>
  <c r="T110" i="70"/>
  <c r="T104" i="70"/>
  <c r="T106" i="70"/>
  <c r="T102" i="70"/>
  <c r="T100" i="70"/>
  <c r="T98" i="70"/>
  <c r="T96" i="70"/>
  <c r="T95" i="70"/>
  <c r="T91" i="70"/>
  <c r="T93" i="70"/>
  <c r="T82" i="70"/>
  <c r="T80" i="70"/>
  <c r="T78" i="70"/>
  <c r="T76" i="70"/>
  <c r="T74" i="70"/>
  <c r="T72" i="70"/>
  <c r="T68" i="70"/>
  <c r="T66" i="70"/>
  <c r="T60" i="70"/>
  <c r="T58" i="70"/>
  <c r="T50" i="70"/>
  <c r="T52" i="70"/>
  <c r="T54" i="70"/>
  <c r="T56" i="70"/>
  <c r="T48" i="70"/>
  <c r="T41" i="70"/>
  <c r="T42" i="70"/>
  <c r="T44" i="70"/>
  <c r="T46" i="70"/>
  <c r="T40" i="70"/>
  <c r="T38" i="70"/>
  <c r="T36" i="70"/>
  <c r="T30" i="70"/>
  <c r="T32" i="70"/>
  <c r="T34" i="70"/>
  <c r="T28" i="70"/>
  <c r="T26" i="70"/>
  <c r="T24" i="70"/>
  <c r="T22" i="70"/>
  <c r="T20" i="70"/>
  <c r="T16" i="70"/>
  <c r="T14" i="70"/>
  <c r="T13" i="70"/>
  <c r="M307" i="70" l="1"/>
  <c r="O307" i="70" s="1"/>
  <c r="Q307" i="70" s="1"/>
  <c r="S307" i="70" s="1"/>
  <c r="M240" i="70"/>
  <c r="O240" i="70" s="1"/>
  <c r="Q240" i="70" s="1"/>
  <c r="S240" i="70" s="1"/>
  <c r="Q232" i="70"/>
  <c r="S232" i="70" s="1"/>
  <c r="O230" i="70"/>
  <c r="Q230" i="70" s="1"/>
  <c r="S230" i="70" s="1"/>
  <c r="Q212" i="70"/>
  <c r="S212" i="70" s="1"/>
  <c r="S228" i="70" l="1"/>
  <c r="Q202" i="70"/>
  <c r="S202" i="70" s="1"/>
  <c r="S178" i="70"/>
  <c r="S176" i="70"/>
  <c r="S180" i="70"/>
  <c r="S154" i="70"/>
  <c r="K78" i="70"/>
  <c r="K66" i="70" s="1"/>
  <c r="K80" i="70"/>
  <c r="K58" i="70"/>
  <c r="K48" i="70"/>
  <c r="K22" i="70"/>
  <c r="K14" i="70"/>
  <c r="S70" i="70" l="1"/>
  <c r="S68" i="70" l="1"/>
  <c r="Q316" i="70" l="1"/>
  <c r="S316" i="70" s="1"/>
  <c r="Q318" i="70"/>
  <c r="S318" i="70" s="1"/>
  <c r="M312" i="70"/>
  <c r="Q309" i="70"/>
  <c r="S309" i="70" s="1"/>
  <c r="Q298" i="70"/>
  <c r="S298" i="70" s="1"/>
  <c r="Q263" i="70"/>
  <c r="S263" i="70" s="1"/>
  <c r="Q264" i="70"/>
  <c r="S264" i="70" s="1"/>
  <c r="Q265" i="70"/>
  <c r="S265" i="70" s="1"/>
  <c r="Q305" i="70"/>
  <c r="S305" i="70" s="1"/>
  <c r="Q271" i="70"/>
  <c r="S271" i="70" s="1"/>
  <c r="Q228" i="70"/>
  <c r="V238" i="70"/>
  <c r="X238" i="70" s="1"/>
  <c r="V240" i="70"/>
  <c r="V257" i="70"/>
  <c r="X257" i="70" s="1"/>
  <c r="V236" i="70"/>
  <c r="X236" i="70" s="1"/>
  <c r="Q236" i="70"/>
  <c r="S236" i="70" s="1"/>
  <c r="Q238" i="70"/>
  <c r="S238" i="70" s="1"/>
  <c r="Q222" i="70"/>
  <c r="S222" i="70" s="1"/>
  <c r="Q220" i="70"/>
  <c r="S220" i="70" s="1"/>
  <c r="S304" i="70" l="1"/>
  <c r="S214" i="70"/>
  <c r="Q304" i="70"/>
  <c r="Q214" i="70"/>
  <c r="Q204" i="70" l="1"/>
  <c r="Q174" i="70" l="1"/>
  <c r="Q170" i="70"/>
  <c r="S170" i="70" s="1"/>
  <c r="Q152" i="70"/>
  <c r="Q147" i="70"/>
  <c r="S147" i="70" s="1"/>
  <c r="Q145" i="70"/>
  <c r="S145" i="70" s="1"/>
  <c r="Q117" i="70"/>
  <c r="Q150" i="70" l="1"/>
  <c r="S152" i="70"/>
  <c r="S150" i="70" s="1"/>
  <c r="S149" i="70" s="1"/>
  <c r="Q113" i="70"/>
  <c r="S117" i="70"/>
  <c r="S113" i="70" s="1"/>
  <c r="S143" i="70"/>
  <c r="Q172" i="70"/>
  <c r="S174" i="70"/>
  <c r="S172" i="70" s="1"/>
  <c r="Q143" i="70"/>
  <c r="O78" i="70"/>
  <c r="Q78" i="70" s="1"/>
  <c r="S78" i="70" s="1"/>
  <c r="M56" i="70"/>
  <c r="AJ333" i="70" l="1"/>
  <c r="AJ332" i="70"/>
  <c r="AJ331" i="70"/>
  <c r="H331" i="70"/>
  <c r="V331" i="70" s="1"/>
  <c r="E331" i="70"/>
  <c r="U330" i="70"/>
  <c r="V329" i="70"/>
  <c r="X329" i="70" s="1"/>
  <c r="U329" i="70"/>
  <c r="W329" i="70" s="1"/>
  <c r="Y329" i="70" s="1"/>
  <c r="U328" i="70"/>
  <c r="V327" i="70"/>
  <c r="U327" i="70"/>
  <c r="W327" i="70" s="1"/>
  <c r="W326" i="70"/>
  <c r="W325" i="70"/>
  <c r="W324" i="70"/>
  <c r="W323" i="70"/>
  <c r="W322" i="70"/>
  <c r="W321" i="70"/>
  <c r="V320" i="70"/>
  <c r="X320" i="70" s="1"/>
  <c r="O320" i="70"/>
  <c r="Q320" i="70" s="1"/>
  <c r="S320" i="70" s="1"/>
  <c r="K320" i="70"/>
  <c r="D320" i="70"/>
  <c r="C320" i="70"/>
  <c r="U319" i="70"/>
  <c r="V318" i="70"/>
  <c r="X318" i="70" s="1"/>
  <c r="U318" i="70"/>
  <c r="W318" i="70" s="1"/>
  <c r="Y318" i="70" s="1"/>
  <c r="U317" i="70"/>
  <c r="V316" i="70"/>
  <c r="X316" i="70" s="1"/>
  <c r="U316" i="70"/>
  <c r="W316" i="70" s="1"/>
  <c r="Y316" i="70" s="1"/>
  <c r="U315" i="70"/>
  <c r="V314" i="70"/>
  <c r="X314" i="70" s="1"/>
  <c r="O314" i="70"/>
  <c r="Q314" i="70" s="1"/>
  <c r="K314" i="70"/>
  <c r="V312" i="70"/>
  <c r="X312" i="70" s="1"/>
  <c r="I312" i="70"/>
  <c r="I311" i="70" s="1"/>
  <c r="G312" i="70"/>
  <c r="G311" i="70" s="1"/>
  <c r="C312" i="70"/>
  <c r="V311" i="70"/>
  <c r="X311" i="70" s="1"/>
  <c r="M311" i="70"/>
  <c r="V309" i="70"/>
  <c r="X309" i="70" s="1"/>
  <c r="U309" i="70"/>
  <c r="W309" i="70" s="1"/>
  <c r="Y309" i="70" s="1"/>
  <c r="K309" i="70"/>
  <c r="K304" i="70" s="1"/>
  <c r="V307" i="70"/>
  <c r="X307" i="70" s="1"/>
  <c r="U307" i="70"/>
  <c r="W307" i="70" s="1"/>
  <c r="Y307" i="70" s="1"/>
  <c r="V305" i="70"/>
  <c r="X305" i="70" s="1"/>
  <c r="U305" i="70"/>
  <c r="W305" i="70" s="1"/>
  <c r="Y305" i="70" s="1"/>
  <c r="D305" i="70"/>
  <c r="C305" i="70"/>
  <c r="V304" i="70"/>
  <c r="X304" i="70" s="1"/>
  <c r="O304" i="70"/>
  <c r="M304" i="70"/>
  <c r="I304" i="70"/>
  <c r="G304" i="70"/>
  <c r="C304" i="70"/>
  <c r="W303" i="70"/>
  <c r="V302" i="70"/>
  <c r="X302" i="70" s="1"/>
  <c r="O302" i="70"/>
  <c r="Q302" i="70" s="1"/>
  <c r="K302" i="70"/>
  <c r="W301" i="70"/>
  <c r="V300" i="70"/>
  <c r="X300" i="70" s="1"/>
  <c r="U300" i="70"/>
  <c r="W300" i="70" s="1"/>
  <c r="Y300" i="70" s="1"/>
  <c r="V298" i="70"/>
  <c r="X298" i="70" s="1"/>
  <c r="U298" i="70"/>
  <c r="W298" i="70" s="1"/>
  <c r="Y298" i="70" s="1"/>
  <c r="K298" i="70"/>
  <c r="V280" i="70"/>
  <c r="X280" i="70" s="1"/>
  <c r="U280" i="70"/>
  <c r="W280" i="70" s="1"/>
  <c r="Y280" i="70" s="1"/>
  <c r="V278" i="70"/>
  <c r="X278" i="70" s="1"/>
  <c r="U278" i="70"/>
  <c r="W278" i="70" s="1"/>
  <c r="Y278" i="70" s="1"/>
  <c r="V277" i="70"/>
  <c r="X277" i="70" s="1"/>
  <c r="M277" i="70"/>
  <c r="I277" i="70"/>
  <c r="G277" i="70"/>
  <c r="C277" i="70"/>
  <c r="U276" i="70"/>
  <c r="M275" i="70"/>
  <c r="K275" i="70"/>
  <c r="K269" i="70" s="1"/>
  <c r="G275" i="70"/>
  <c r="G269" i="70" s="1"/>
  <c r="U274" i="70"/>
  <c r="V273" i="70"/>
  <c r="X273" i="70" s="1"/>
  <c r="U273" i="70"/>
  <c r="W273" i="70" s="1"/>
  <c r="Y273" i="70" s="1"/>
  <c r="U272" i="70"/>
  <c r="U271" i="70"/>
  <c r="W271" i="70" s="1"/>
  <c r="Y271" i="70" s="1"/>
  <c r="D271" i="70"/>
  <c r="V269" i="70"/>
  <c r="X269" i="70" s="1"/>
  <c r="I269" i="70"/>
  <c r="C269" i="70"/>
  <c r="V267" i="70"/>
  <c r="X267" i="70" s="1"/>
  <c r="U267" i="70"/>
  <c r="W267" i="70" s="1"/>
  <c r="Y267" i="70" s="1"/>
  <c r="V266" i="70"/>
  <c r="X266" i="70" s="1"/>
  <c r="O266" i="70"/>
  <c r="K266" i="70"/>
  <c r="V265" i="70"/>
  <c r="X265" i="70" s="1"/>
  <c r="U265" i="70"/>
  <c r="W265" i="70" s="1"/>
  <c r="Y265" i="70" s="1"/>
  <c r="K265" i="70"/>
  <c r="V264" i="70"/>
  <c r="X264" i="70" s="1"/>
  <c r="U264" i="70"/>
  <c r="W264" i="70" s="1"/>
  <c r="Y264" i="70" s="1"/>
  <c r="K264" i="70"/>
  <c r="D264" i="70"/>
  <c r="C264" i="70"/>
  <c r="V263" i="70"/>
  <c r="X263" i="70" s="1"/>
  <c r="U263" i="70"/>
  <c r="W263" i="70" s="1"/>
  <c r="Y263" i="70" s="1"/>
  <c r="O261" i="70"/>
  <c r="D261" i="70"/>
  <c r="C261" i="70"/>
  <c r="M259" i="70"/>
  <c r="I259" i="70"/>
  <c r="G259" i="70"/>
  <c r="V258" i="70"/>
  <c r="X258" i="70" s="1"/>
  <c r="O257" i="70"/>
  <c r="Q257" i="70" s="1"/>
  <c r="K257" i="70"/>
  <c r="X240" i="70"/>
  <c r="U240" i="70"/>
  <c r="W240" i="70" s="1"/>
  <c r="Y240" i="70" s="1"/>
  <c r="U238" i="70"/>
  <c r="W238" i="70" s="1"/>
  <c r="Y238" i="70" s="1"/>
  <c r="D238" i="70"/>
  <c r="C238" i="70"/>
  <c r="U236" i="70"/>
  <c r="W236" i="70" s="1"/>
  <c r="Y236" i="70" s="1"/>
  <c r="K236" i="70"/>
  <c r="D236" i="70"/>
  <c r="C236" i="70"/>
  <c r="V234" i="70"/>
  <c r="X234" i="70" s="1"/>
  <c r="M234" i="70"/>
  <c r="I234" i="70"/>
  <c r="G234" i="70"/>
  <c r="C234" i="70"/>
  <c r="U233" i="70"/>
  <c r="V232" i="70"/>
  <c r="X232" i="70" s="1"/>
  <c r="U232" i="70"/>
  <c r="W232" i="70" s="1"/>
  <c r="Y232" i="70" s="1"/>
  <c r="K232" i="70"/>
  <c r="K228" i="70" s="1"/>
  <c r="D232" i="70"/>
  <c r="C232" i="70"/>
  <c r="V230" i="70"/>
  <c r="X230" i="70" s="1"/>
  <c r="U230" i="70"/>
  <c r="W230" i="70" s="1"/>
  <c r="Y230" i="70" s="1"/>
  <c r="U229" i="70"/>
  <c r="V228" i="70"/>
  <c r="X228" i="70" s="1"/>
  <c r="O228" i="70"/>
  <c r="M228" i="70"/>
  <c r="I228" i="70"/>
  <c r="G228" i="70"/>
  <c r="C228" i="70"/>
  <c r="V222" i="70"/>
  <c r="X222" i="70" s="1"/>
  <c r="U222" i="70"/>
  <c r="W222" i="70" s="1"/>
  <c r="K222" i="70"/>
  <c r="G222" i="70"/>
  <c r="V220" i="70"/>
  <c r="X220" i="70" s="1"/>
  <c r="U220" i="70"/>
  <c r="W220" i="70" s="1"/>
  <c r="K220" i="70"/>
  <c r="G220" i="70"/>
  <c r="W218" i="70"/>
  <c r="Y218" i="70" s="1"/>
  <c r="V218" i="70"/>
  <c r="X218" i="70" s="1"/>
  <c r="W216" i="70"/>
  <c r="Y216" i="70" s="1"/>
  <c r="V216" i="70"/>
  <c r="X216" i="70" s="1"/>
  <c r="V214" i="70"/>
  <c r="X214" i="70" s="1"/>
  <c r="O214" i="70"/>
  <c r="M214" i="70"/>
  <c r="I214" i="70"/>
  <c r="C214" i="70"/>
  <c r="V212" i="70"/>
  <c r="X212" i="70" s="1"/>
  <c r="U212" i="70"/>
  <c r="W212" i="70" s="1"/>
  <c r="Y212" i="70" s="1"/>
  <c r="K212" i="70"/>
  <c r="V210" i="70"/>
  <c r="X210" i="70" s="1"/>
  <c r="O210" i="70"/>
  <c r="Q210" i="70" s="1"/>
  <c r="D210" i="70"/>
  <c r="C210" i="70"/>
  <c r="V208" i="70"/>
  <c r="X208" i="70" s="1"/>
  <c r="M208" i="70"/>
  <c r="I208" i="70"/>
  <c r="G208" i="70"/>
  <c r="C208" i="70"/>
  <c r="V206" i="70"/>
  <c r="O206" i="70"/>
  <c r="X204" i="70"/>
  <c r="V204" i="70"/>
  <c r="U204" i="70"/>
  <c r="W204" i="70" s="1"/>
  <c r="V202" i="70"/>
  <c r="U202" i="70"/>
  <c r="W202" i="70" s="1"/>
  <c r="Y202" i="70" s="1"/>
  <c r="K202" i="70"/>
  <c r="K200" i="70" s="1"/>
  <c r="D202" i="70"/>
  <c r="C202" i="70"/>
  <c r="V200" i="70"/>
  <c r="X200" i="70" s="1"/>
  <c r="M200" i="70"/>
  <c r="I200" i="70"/>
  <c r="G200" i="70"/>
  <c r="C200" i="70"/>
  <c r="V182" i="70"/>
  <c r="X182" i="70" s="1"/>
  <c r="V180" i="70"/>
  <c r="X180" i="70" s="1"/>
  <c r="U180" i="70"/>
  <c r="W180" i="70" s="1"/>
  <c r="Y180" i="70" s="1"/>
  <c r="K180" i="70"/>
  <c r="K172" i="70" s="1"/>
  <c r="D180" i="70"/>
  <c r="C180" i="70"/>
  <c r="V178" i="70"/>
  <c r="X178" i="70" s="1"/>
  <c r="U178" i="70"/>
  <c r="W178" i="70" s="1"/>
  <c r="Y178" i="70" s="1"/>
  <c r="V176" i="70"/>
  <c r="X176" i="70" s="1"/>
  <c r="U176" i="70"/>
  <c r="W176" i="70" s="1"/>
  <c r="Y176" i="70" s="1"/>
  <c r="V174" i="70"/>
  <c r="X174" i="70" s="1"/>
  <c r="U174" i="70"/>
  <c r="W174" i="70" s="1"/>
  <c r="Y174" i="70" s="1"/>
  <c r="D174" i="70"/>
  <c r="C174" i="70"/>
  <c r="V172" i="70"/>
  <c r="X172" i="70" s="1"/>
  <c r="O172" i="70"/>
  <c r="M172" i="70"/>
  <c r="I172" i="70"/>
  <c r="G172" i="70"/>
  <c r="C172" i="70"/>
  <c r="V170" i="70"/>
  <c r="X170" i="70" s="1"/>
  <c r="U170" i="70"/>
  <c r="W170" i="70" s="1"/>
  <c r="Y170" i="70" s="1"/>
  <c r="D170" i="70"/>
  <c r="C170" i="70"/>
  <c r="U169" i="70"/>
  <c r="V168" i="70"/>
  <c r="X168" i="70" s="1"/>
  <c r="M168" i="70"/>
  <c r="O168" i="70" s="1"/>
  <c r="K168" i="70"/>
  <c r="K166" i="70" s="1"/>
  <c r="D168" i="70"/>
  <c r="C168" i="70"/>
  <c r="V166" i="70"/>
  <c r="X166" i="70" s="1"/>
  <c r="I166" i="70"/>
  <c r="G166" i="70"/>
  <c r="C166" i="70"/>
  <c r="V165" i="70"/>
  <c r="X165" i="70" s="1"/>
  <c r="V161" i="70"/>
  <c r="X161" i="70" s="1"/>
  <c r="O161" i="70"/>
  <c r="M161" i="70"/>
  <c r="M160" i="70" s="1"/>
  <c r="K161" i="70"/>
  <c r="K160" i="70" s="1"/>
  <c r="I161" i="70"/>
  <c r="I160" i="70" s="1"/>
  <c r="G161" i="70"/>
  <c r="G160" i="70" s="1"/>
  <c r="V160" i="70"/>
  <c r="X160" i="70" s="1"/>
  <c r="S160" i="70"/>
  <c r="Q160" i="70"/>
  <c r="W158" i="70"/>
  <c r="Y158" i="70" s="1"/>
  <c r="V158" i="70"/>
  <c r="X158" i="70" s="1"/>
  <c r="W156" i="70"/>
  <c r="Y156" i="70" s="1"/>
  <c r="V156" i="70"/>
  <c r="X156" i="70" s="1"/>
  <c r="V154" i="70"/>
  <c r="X154" i="70" s="1"/>
  <c r="M154" i="70"/>
  <c r="U154" i="70" s="1"/>
  <c r="K154" i="70"/>
  <c r="I154" i="70"/>
  <c r="G154" i="70"/>
  <c r="V152" i="70"/>
  <c r="X152" i="70" s="1"/>
  <c r="U152" i="70"/>
  <c r="W152" i="70" s="1"/>
  <c r="Y152" i="70" s="1"/>
  <c r="D152" i="70"/>
  <c r="C152" i="70"/>
  <c r="V150" i="70"/>
  <c r="X150" i="70" s="1"/>
  <c r="O150" i="70"/>
  <c r="O149" i="70" s="1"/>
  <c r="M150" i="70"/>
  <c r="M149" i="70" s="1"/>
  <c r="K150" i="70"/>
  <c r="I150" i="70"/>
  <c r="G150" i="70"/>
  <c r="V149" i="70"/>
  <c r="X149" i="70" s="1"/>
  <c r="Q149" i="70"/>
  <c r="V147" i="70"/>
  <c r="X147" i="70" s="1"/>
  <c r="U147" i="70"/>
  <c r="W147" i="70" s="1"/>
  <c r="Y147" i="70" s="1"/>
  <c r="D147" i="70"/>
  <c r="C147" i="70"/>
  <c r="V145" i="70"/>
  <c r="X145" i="70" s="1"/>
  <c r="U145" i="70"/>
  <c r="W145" i="70" s="1"/>
  <c r="Y145" i="70" s="1"/>
  <c r="D145" i="70"/>
  <c r="C145" i="70"/>
  <c r="U144" i="70"/>
  <c r="V143" i="70"/>
  <c r="X143" i="70" s="1"/>
  <c r="O143" i="70"/>
  <c r="M143" i="70"/>
  <c r="K143" i="70"/>
  <c r="I143" i="70"/>
  <c r="G143" i="70"/>
  <c r="V123" i="70"/>
  <c r="X123" i="70" s="1"/>
  <c r="O123" i="70"/>
  <c r="V121" i="70"/>
  <c r="X121" i="70" s="1"/>
  <c r="M121" i="70"/>
  <c r="K121" i="70"/>
  <c r="K119" i="70" s="1"/>
  <c r="D121" i="70"/>
  <c r="C121" i="70"/>
  <c r="V119" i="70"/>
  <c r="X119" i="70" s="1"/>
  <c r="I119" i="70"/>
  <c r="G119" i="70"/>
  <c r="C119" i="70"/>
  <c r="V117" i="70"/>
  <c r="X117" i="70" s="1"/>
  <c r="U117" i="70"/>
  <c r="W117" i="70" s="1"/>
  <c r="Y117" i="70" s="1"/>
  <c r="V115" i="70"/>
  <c r="X115" i="70" s="1"/>
  <c r="U115" i="70"/>
  <c r="W115" i="70" s="1"/>
  <c r="V113" i="70"/>
  <c r="X113" i="70" s="1"/>
  <c r="O113" i="70"/>
  <c r="M113" i="70"/>
  <c r="K113" i="70"/>
  <c r="I113" i="70"/>
  <c r="G113" i="70"/>
  <c r="V112" i="70"/>
  <c r="X112" i="70" s="1"/>
  <c r="V110" i="70"/>
  <c r="X110" i="70" s="1"/>
  <c r="O110" i="70"/>
  <c r="O108" i="70" s="1"/>
  <c r="D110" i="70"/>
  <c r="C110" i="70"/>
  <c r="V108" i="70"/>
  <c r="X108" i="70" s="1"/>
  <c r="M108" i="70"/>
  <c r="K108" i="70"/>
  <c r="I108" i="70"/>
  <c r="G108" i="70"/>
  <c r="V106" i="70"/>
  <c r="X106" i="70" s="1"/>
  <c r="M106" i="70"/>
  <c r="O106" i="70" s="1"/>
  <c r="D106" i="70"/>
  <c r="C106" i="70"/>
  <c r="V104" i="70"/>
  <c r="X104" i="70" s="1"/>
  <c r="K104" i="70"/>
  <c r="I104" i="70"/>
  <c r="G104" i="70"/>
  <c r="W103" i="70"/>
  <c r="V102" i="70"/>
  <c r="X102" i="70" s="1"/>
  <c r="U102" i="70"/>
  <c r="W102" i="70" s="1"/>
  <c r="Y102" i="70" s="1"/>
  <c r="W101" i="70"/>
  <c r="V100" i="70"/>
  <c r="X100" i="70" s="1"/>
  <c r="M100" i="70"/>
  <c r="O100" i="70" s="1"/>
  <c r="D100" i="70"/>
  <c r="W99" i="70"/>
  <c r="V98" i="70"/>
  <c r="X98" i="70" s="1"/>
  <c r="U98" i="70"/>
  <c r="W98" i="70" s="1"/>
  <c r="Y98" i="70" s="1"/>
  <c r="U97" i="70"/>
  <c r="W97" i="70" s="1"/>
  <c r="V96" i="70"/>
  <c r="X96" i="70" s="1"/>
  <c r="K96" i="70"/>
  <c r="I96" i="70"/>
  <c r="G96" i="70"/>
  <c r="V95" i="70"/>
  <c r="X95" i="70" s="1"/>
  <c r="U94" i="70"/>
  <c r="V93" i="70"/>
  <c r="X93" i="70" s="1"/>
  <c r="M93" i="70"/>
  <c r="O93" i="70" s="1"/>
  <c r="Q93" i="70" s="1"/>
  <c r="S93" i="70" s="1"/>
  <c r="D93" i="70"/>
  <c r="U92" i="70"/>
  <c r="V91" i="70"/>
  <c r="X91" i="70" s="1"/>
  <c r="M91" i="70"/>
  <c r="D91" i="70"/>
  <c r="V82" i="70"/>
  <c r="X82" i="70" s="1"/>
  <c r="O82" i="70"/>
  <c r="Q82" i="70" s="1"/>
  <c r="S82" i="70" s="1"/>
  <c r="D82" i="70"/>
  <c r="U81" i="70"/>
  <c r="W81" i="70" s="1"/>
  <c r="V80" i="70"/>
  <c r="X80" i="70" s="1"/>
  <c r="I80" i="70"/>
  <c r="G80" i="70"/>
  <c r="V78" i="70"/>
  <c r="X78" i="70" s="1"/>
  <c r="U78" i="70"/>
  <c r="W78" i="70" s="1"/>
  <c r="Y78" i="70" s="1"/>
  <c r="D78" i="70"/>
  <c r="V76" i="70"/>
  <c r="X76" i="70" s="1"/>
  <c r="U76" i="70"/>
  <c r="W76" i="70" s="1"/>
  <c r="Y76" i="70" s="1"/>
  <c r="V74" i="70"/>
  <c r="X74" i="70" s="1"/>
  <c r="U74" i="70"/>
  <c r="W74" i="70" s="1"/>
  <c r="Y74" i="70" s="1"/>
  <c r="V72" i="70"/>
  <c r="X72" i="70" s="1"/>
  <c r="M72" i="70"/>
  <c r="O72" i="70" s="1"/>
  <c r="V70" i="70"/>
  <c r="X70" i="70" s="1"/>
  <c r="U70" i="70"/>
  <c r="W70" i="70" s="1"/>
  <c r="Y70" i="70" s="1"/>
  <c r="V68" i="70"/>
  <c r="X68" i="70" s="1"/>
  <c r="U68" i="70"/>
  <c r="W68" i="70" s="1"/>
  <c r="Y68" i="70" s="1"/>
  <c r="U67" i="70"/>
  <c r="V66" i="70"/>
  <c r="X66" i="70" s="1"/>
  <c r="I66" i="70"/>
  <c r="G66" i="70"/>
  <c r="W65" i="70"/>
  <c r="W64" i="70"/>
  <c r="Y64" i="70" s="1"/>
  <c r="V64" i="70"/>
  <c r="X64" i="70" s="1"/>
  <c r="W63" i="70"/>
  <c r="W62" i="70"/>
  <c r="Y62" i="70" s="1"/>
  <c r="V62" i="70"/>
  <c r="X62" i="70" s="1"/>
  <c r="W61" i="70"/>
  <c r="V60" i="70"/>
  <c r="X60" i="70" s="1"/>
  <c r="M60" i="70"/>
  <c r="O60" i="70" s="1"/>
  <c r="U59" i="70"/>
  <c r="W59" i="70" s="1"/>
  <c r="V58" i="70"/>
  <c r="X58" i="70" s="1"/>
  <c r="I58" i="70"/>
  <c r="G58" i="70"/>
  <c r="V56" i="70"/>
  <c r="X56" i="70" s="1"/>
  <c r="O56" i="70"/>
  <c r="V54" i="70"/>
  <c r="X54" i="70" s="1"/>
  <c r="M54" i="70"/>
  <c r="O54" i="70" s="1"/>
  <c r="Q54" i="70" s="1"/>
  <c r="S54" i="70" s="1"/>
  <c r="V52" i="70"/>
  <c r="X52" i="70" s="1"/>
  <c r="M52" i="70"/>
  <c r="O52" i="70" s="1"/>
  <c r="Q52" i="70" s="1"/>
  <c r="S52" i="70" s="1"/>
  <c r="V50" i="70"/>
  <c r="X50" i="70" s="1"/>
  <c r="O50" i="70"/>
  <c r="Q50" i="70" s="1"/>
  <c r="S50" i="70" s="1"/>
  <c r="V48" i="70"/>
  <c r="X48" i="70" s="1"/>
  <c r="I48" i="70"/>
  <c r="G48" i="70"/>
  <c r="V46" i="70"/>
  <c r="X46" i="70" s="1"/>
  <c r="U46" i="70"/>
  <c r="W46" i="70" s="1"/>
  <c r="Y46" i="70" s="1"/>
  <c r="V44" i="70"/>
  <c r="X44" i="70" s="1"/>
  <c r="U44" i="70"/>
  <c r="W44" i="70" s="1"/>
  <c r="Y44" i="70" s="1"/>
  <c r="V42" i="70"/>
  <c r="X42" i="70" s="1"/>
  <c r="U42" i="70"/>
  <c r="W42" i="70" s="1"/>
  <c r="Y42" i="70" s="1"/>
  <c r="V40" i="70"/>
  <c r="X40" i="70" s="1"/>
  <c r="S40" i="70"/>
  <c r="Q40" i="70"/>
  <c r="O40" i="70"/>
  <c r="M40" i="70"/>
  <c r="K40" i="70"/>
  <c r="I40" i="70"/>
  <c r="G40" i="70"/>
  <c r="V38" i="70"/>
  <c r="X38" i="70" s="1"/>
  <c r="U38" i="70"/>
  <c r="W38" i="70" s="1"/>
  <c r="Y38" i="70" s="1"/>
  <c r="V36" i="70"/>
  <c r="X36" i="70" s="1"/>
  <c r="S36" i="70"/>
  <c r="Q36" i="70"/>
  <c r="O36" i="70"/>
  <c r="M36" i="70"/>
  <c r="K36" i="70"/>
  <c r="I36" i="70"/>
  <c r="I22" i="70" s="1"/>
  <c r="G36" i="70"/>
  <c r="V34" i="70"/>
  <c r="X34" i="70" s="1"/>
  <c r="M34" i="70"/>
  <c r="O34" i="70" s="1"/>
  <c r="V32" i="70"/>
  <c r="X32" i="70" s="1"/>
  <c r="U32" i="70"/>
  <c r="W32" i="70" s="1"/>
  <c r="Y32" i="70" s="1"/>
  <c r="V30" i="70"/>
  <c r="X30" i="70" s="1"/>
  <c r="M30" i="70"/>
  <c r="O30" i="70" s="1"/>
  <c r="Q30" i="70" s="1"/>
  <c r="S30" i="70" s="1"/>
  <c r="V28" i="70"/>
  <c r="X28" i="70" s="1"/>
  <c r="M28" i="70"/>
  <c r="V26" i="70"/>
  <c r="X26" i="70" s="1"/>
  <c r="O26" i="70"/>
  <c r="Q26" i="70" s="1"/>
  <c r="S26" i="70" s="1"/>
  <c r="V24" i="70"/>
  <c r="X24" i="70" s="1"/>
  <c r="O24" i="70"/>
  <c r="V22" i="70"/>
  <c r="X22" i="70" s="1"/>
  <c r="G22" i="70"/>
  <c r="V20" i="70"/>
  <c r="X20" i="70" s="1"/>
  <c r="U20" i="70"/>
  <c r="W20" i="70" s="1"/>
  <c r="Y20" i="70" s="1"/>
  <c r="V18" i="70"/>
  <c r="X18" i="70" s="1"/>
  <c r="O18" i="70"/>
  <c r="V16" i="70"/>
  <c r="X16" i="70" s="1"/>
  <c r="O16" i="70"/>
  <c r="V14" i="70"/>
  <c r="X14" i="70" s="1"/>
  <c r="M14" i="70"/>
  <c r="I14" i="70"/>
  <c r="G14" i="70"/>
  <c r="V13" i="70"/>
  <c r="X13" i="70" s="1"/>
  <c r="K312" i="70" l="1"/>
  <c r="K311" i="70" s="1"/>
  <c r="I182" i="70"/>
  <c r="O208" i="70"/>
  <c r="K214" i="70"/>
  <c r="Y222" i="70"/>
  <c r="X332" i="70"/>
  <c r="Y220" i="70"/>
  <c r="U113" i="70"/>
  <c r="I224" i="70"/>
  <c r="G13" i="70"/>
  <c r="M58" i="70"/>
  <c r="K149" i="70"/>
  <c r="U50" i="70"/>
  <c r="W50" i="70" s="1"/>
  <c r="Y50" i="70" s="1"/>
  <c r="M66" i="70"/>
  <c r="I95" i="70"/>
  <c r="U150" i="70"/>
  <c r="W150" i="70" s="1"/>
  <c r="Y150" i="70" s="1"/>
  <c r="U214" i="70"/>
  <c r="W214" i="70" s="1"/>
  <c r="K277" i="70"/>
  <c r="Q234" i="70"/>
  <c r="Q224" i="70" s="1"/>
  <c r="S257" i="70"/>
  <c r="S234" i="70" s="1"/>
  <c r="S224" i="70" s="1"/>
  <c r="Q312" i="70"/>
  <c r="Q311" i="70" s="1"/>
  <c r="S314" i="70"/>
  <c r="S312" i="70" s="1"/>
  <c r="S311" i="70" s="1"/>
  <c r="U143" i="70"/>
  <c r="W143" i="70" s="1"/>
  <c r="Y143" i="70" s="1"/>
  <c r="Q208" i="70"/>
  <c r="S210" i="70"/>
  <c r="S208" i="70" s="1"/>
  <c r="G224" i="70"/>
  <c r="O312" i="70"/>
  <c r="O311" i="70" s="1"/>
  <c r="K13" i="70"/>
  <c r="M48" i="70"/>
  <c r="M104" i="70"/>
  <c r="W113" i="70"/>
  <c r="Y113" i="70" s="1"/>
  <c r="Q277" i="70"/>
  <c r="S302" i="70"/>
  <c r="S277" i="70" s="1"/>
  <c r="U320" i="70"/>
  <c r="U36" i="70"/>
  <c r="W36" i="70" s="1"/>
  <c r="Y36" i="70" s="1"/>
  <c r="G95" i="70"/>
  <c r="K234" i="70"/>
  <c r="K224" i="70" s="1"/>
  <c r="K259" i="70"/>
  <c r="Q60" i="70"/>
  <c r="U228" i="70"/>
  <c r="W228" i="70" s="1"/>
  <c r="Y228" i="70" s="1"/>
  <c r="M224" i="70"/>
  <c r="Q18" i="70"/>
  <c r="O66" i="70"/>
  <c r="Q72" i="70"/>
  <c r="Q206" i="70"/>
  <c r="O200" i="70"/>
  <c r="Q34" i="70"/>
  <c r="O96" i="70"/>
  <c r="Q100" i="70"/>
  <c r="Q123" i="70"/>
  <c r="S123" i="70" s="1"/>
  <c r="W154" i="70"/>
  <c r="Y154" i="70" s="1"/>
  <c r="O58" i="70"/>
  <c r="Q16" i="70"/>
  <c r="S16" i="70" s="1"/>
  <c r="O28" i="70"/>
  <c r="Q28" i="70" s="1"/>
  <c r="S28" i="70" s="1"/>
  <c r="M22" i="70"/>
  <c r="U40" i="70"/>
  <c r="W40" i="70" s="1"/>
  <c r="Y40" i="70" s="1"/>
  <c r="O166" i="70"/>
  <c r="O165" i="70" s="1"/>
  <c r="Q168" i="70"/>
  <c r="M182" i="70"/>
  <c r="G112" i="70"/>
  <c r="G214" i="70"/>
  <c r="G182" i="70" s="1"/>
  <c r="Q261" i="70"/>
  <c r="S261" i="70" s="1"/>
  <c r="M269" i="70"/>
  <c r="M258" i="70" s="1"/>
  <c r="O275" i="70"/>
  <c r="AK330" i="70"/>
  <c r="Q266" i="70"/>
  <c r="Q24" i="70"/>
  <c r="S24" i="70" s="1"/>
  <c r="U26" i="70"/>
  <c r="W26" i="70" s="1"/>
  <c r="Y26" i="70" s="1"/>
  <c r="Q56" i="70"/>
  <c r="S56" i="70" s="1"/>
  <c r="S48" i="70" s="1"/>
  <c r="K95" i="70"/>
  <c r="O104" i="70"/>
  <c r="Q106" i="70"/>
  <c r="S106" i="70" s="1"/>
  <c r="S104" i="70" s="1"/>
  <c r="Q110" i="70"/>
  <c r="I112" i="70"/>
  <c r="G149" i="70"/>
  <c r="U172" i="70"/>
  <c r="W172" i="70" s="1"/>
  <c r="Y172" i="70" s="1"/>
  <c r="G258" i="70"/>
  <c r="K165" i="70"/>
  <c r="U149" i="70"/>
  <c r="K112" i="70"/>
  <c r="O48" i="70"/>
  <c r="O91" i="70"/>
  <c r="Q91" i="70" s="1"/>
  <c r="M80" i="70"/>
  <c r="O121" i="70"/>
  <c r="M119" i="70"/>
  <c r="O14" i="70"/>
  <c r="U52" i="70"/>
  <c r="W52" i="70" s="1"/>
  <c r="Y52" i="70" s="1"/>
  <c r="I165" i="70"/>
  <c r="U93" i="70"/>
  <c r="W93" i="70" s="1"/>
  <c r="Y93" i="70" s="1"/>
  <c r="U161" i="70"/>
  <c r="W161" i="70" s="1"/>
  <c r="Y161" i="70" s="1"/>
  <c r="O160" i="70"/>
  <c r="U160" i="70" s="1"/>
  <c r="W160" i="70" s="1"/>
  <c r="Y160" i="70" s="1"/>
  <c r="I149" i="70"/>
  <c r="U82" i="70"/>
  <c r="W82" i="70" s="1"/>
  <c r="Y82" i="70" s="1"/>
  <c r="I258" i="70"/>
  <c r="O277" i="70"/>
  <c r="X331" i="70"/>
  <c r="I13" i="70"/>
  <c r="U30" i="70"/>
  <c r="W30" i="70" s="1"/>
  <c r="Y30" i="70" s="1"/>
  <c r="U54" i="70"/>
  <c r="W54" i="70" s="1"/>
  <c r="Y54" i="70" s="1"/>
  <c r="M96" i="70"/>
  <c r="G165" i="70"/>
  <c r="M166" i="70"/>
  <c r="K208" i="70"/>
  <c r="O234" i="70"/>
  <c r="U304" i="70"/>
  <c r="W304" i="70" s="1"/>
  <c r="Y304" i="70" s="1"/>
  <c r="O259" i="70"/>
  <c r="K182" i="70" l="1"/>
  <c r="U314" i="70"/>
  <c r="W314" i="70" s="1"/>
  <c r="Y314" i="70" s="1"/>
  <c r="Y214" i="70"/>
  <c r="U208" i="70"/>
  <c r="W208" i="70" s="1"/>
  <c r="Y208" i="70" s="1"/>
  <c r="O182" i="70"/>
  <c r="U302" i="70"/>
  <c r="W302" i="70" s="1"/>
  <c r="Y302" i="70" s="1"/>
  <c r="M13" i="70"/>
  <c r="K258" i="70"/>
  <c r="K331" i="70" s="1"/>
  <c r="W149" i="70"/>
  <c r="Y149" i="70" s="1"/>
  <c r="U257" i="70"/>
  <c r="W257" i="70" s="1"/>
  <c r="Y257" i="70" s="1"/>
  <c r="U56" i="70"/>
  <c r="W56" i="70" s="1"/>
  <c r="Y56" i="70" s="1"/>
  <c r="U234" i="70"/>
  <c r="W234" i="70" s="1"/>
  <c r="Y234" i="70" s="1"/>
  <c r="U277" i="70"/>
  <c r="W277" i="70" s="1"/>
  <c r="Y277" i="70" s="1"/>
  <c r="U24" i="70"/>
  <c r="W24" i="70" s="1"/>
  <c r="Y24" i="70" s="1"/>
  <c r="Q48" i="70"/>
  <c r="U48" i="70" s="1"/>
  <c r="W48" i="70" s="1"/>
  <c r="Y48" i="70" s="1"/>
  <c r="S18" i="70"/>
  <c r="U18" i="70" s="1"/>
  <c r="W18" i="70" s="1"/>
  <c r="Y18" i="70" s="1"/>
  <c r="O22" i="70"/>
  <c r="Q96" i="70"/>
  <c r="S100" i="70"/>
  <c r="Q200" i="70"/>
  <c r="Q182" i="70" s="1"/>
  <c r="S206" i="70"/>
  <c r="S200" i="70" s="1"/>
  <c r="S182" i="70" s="1"/>
  <c r="U312" i="70"/>
  <c r="W312" i="70" s="1"/>
  <c r="Y312" i="70" s="1"/>
  <c r="Q166" i="70"/>
  <c r="Q165" i="70" s="1"/>
  <c r="S168" i="70"/>
  <c r="S166" i="70" s="1"/>
  <c r="S165" i="70" s="1"/>
  <c r="Q80" i="70"/>
  <c r="S91" i="70"/>
  <c r="S80" i="70" s="1"/>
  <c r="G331" i="70"/>
  <c r="S266" i="70"/>
  <c r="S259" i="70" s="1"/>
  <c r="Q66" i="70"/>
  <c r="S72" i="70"/>
  <c r="Q58" i="70"/>
  <c r="S60" i="70"/>
  <c r="S58" i="70" s="1"/>
  <c r="U210" i="70"/>
  <c r="W210" i="70" s="1"/>
  <c r="Y210" i="70" s="1"/>
  <c r="Q108" i="70"/>
  <c r="S110" i="70"/>
  <c r="S108" i="70" s="1"/>
  <c r="U261" i="70"/>
  <c r="W261" i="70" s="1"/>
  <c r="Y261" i="70" s="1"/>
  <c r="S34" i="70"/>
  <c r="S22" i="70" s="1"/>
  <c r="O80" i="70"/>
  <c r="Q14" i="70"/>
  <c r="O119" i="70"/>
  <c r="O112" i="70" s="1"/>
  <c r="Q121" i="70"/>
  <c r="Q22" i="70"/>
  <c r="Q259" i="70"/>
  <c r="U16" i="70"/>
  <c r="U123" i="70"/>
  <c r="W123" i="70" s="1"/>
  <c r="Y123" i="70" s="1"/>
  <c r="Q275" i="70"/>
  <c r="O269" i="70"/>
  <c r="O95" i="70"/>
  <c r="I331" i="70"/>
  <c r="Q104" i="70"/>
  <c r="U104" i="70" s="1"/>
  <c r="W104" i="70" s="1"/>
  <c r="Y104" i="70" s="1"/>
  <c r="U106" i="70"/>
  <c r="W106" i="70" s="1"/>
  <c r="Y106" i="70" s="1"/>
  <c r="U28" i="70"/>
  <c r="W28" i="70" s="1"/>
  <c r="Y28" i="70" s="1"/>
  <c r="M95" i="70"/>
  <c r="M112" i="70"/>
  <c r="U311" i="70"/>
  <c r="W311" i="70" s="1"/>
  <c r="Y311" i="70" s="1"/>
  <c r="O224" i="70"/>
  <c r="U224" i="70" s="1"/>
  <c r="W224" i="70" s="1"/>
  <c r="Y224" i="70" s="1"/>
  <c r="M165" i="70"/>
  <c r="U166" i="70" l="1"/>
  <c r="W166" i="70" s="1"/>
  <c r="Y166" i="70" s="1"/>
  <c r="U91" i="70"/>
  <c r="W91" i="70" s="1"/>
  <c r="Y91" i="70" s="1"/>
  <c r="O13" i="70"/>
  <c r="U58" i="70"/>
  <c r="W58" i="70" s="1"/>
  <c r="Y58" i="70" s="1"/>
  <c r="Q95" i="70"/>
  <c r="U60" i="70"/>
  <c r="W60" i="70" s="1"/>
  <c r="Y60" i="70" s="1"/>
  <c r="U168" i="70"/>
  <c r="W168" i="70" s="1"/>
  <c r="Y168" i="70" s="1"/>
  <c r="U80" i="70"/>
  <c r="W80" i="70" s="1"/>
  <c r="Y80" i="70" s="1"/>
  <c r="S14" i="70"/>
  <c r="U14" i="70" s="1"/>
  <c r="W14" i="70" s="1"/>
  <c r="Y14" i="70" s="1"/>
  <c r="U259" i="70"/>
  <c r="W259" i="70" s="1"/>
  <c r="Y259" i="70" s="1"/>
  <c r="U110" i="70"/>
  <c r="W110" i="70" s="1"/>
  <c r="Y110" i="70" s="1"/>
  <c r="U34" i="70"/>
  <c r="W34" i="70" s="1"/>
  <c r="Y34" i="70" s="1"/>
  <c r="U108" i="70"/>
  <c r="W108" i="70" s="1"/>
  <c r="Y108" i="70" s="1"/>
  <c r="U266" i="70"/>
  <c r="W266" i="70" s="1"/>
  <c r="Y266" i="70" s="1"/>
  <c r="U182" i="70"/>
  <c r="W182" i="70" s="1"/>
  <c r="Y182" i="70" s="1"/>
  <c r="U22" i="70"/>
  <c r="W22" i="70" s="1"/>
  <c r="Y22" i="70" s="1"/>
  <c r="S66" i="70"/>
  <c r="U66" i="70" s="1"/>
  <c r="W66" i="70" s="1"/>
  <c r="Y66" i="70" s="1"/>
  <c r="U72" i="70"/>
  <c r="W72" i="70" s="1"/>
  <c r="Y72" i="70" s="1"/>
  <c r="W16" i="70"/>
  <c r="Y16" i="70" s="1"/>
  <c r="S121" i="70"/>
  <c r="S119" i="70" s="1"/>
  <c r="S112" i="70" s="1"/>
  <c r="U200" i="70"/>
  <c r="W200" i="70" s="1"/>
  <c r="Y200" i="70" s="1"/>
  <c r="S96" i="70"/>
  <c r="U100" i="70"/>
  <c r="W100" i="70" s="1"/>
  <c r="Y100" i="70" s="1"/>
  <c r="U206" i="70"/>
  <c r="W206" i="70" s="1"/>
  <c r="Y206" i="70" s="1"/>
  <c r="Q269" i="70"/>
  <c r="S275" i="70"/>
  <c r="S269" i="70" s="1"/>
  <c r="S258" i="70" s="1"/>
  <c r="Q13" i="70"/>
  <c r="O258" i="70"/>
  <c r="O331" i="70" s="1"/>
  <c r="Q119" i="70"/>
  <c r="U165" i="70"/>
  <c r="W165" i="70" s="1"/>
  <c r="Y165" i="70" s="1"/>
  <c r="M331" i="70"/>
  <c r="S13" i="70" l="1"/>
  <c r="U13" i="70" s="1"/>
  <c r="W13" i="70" s="1"/>
  <c r="Y13" i="70" s="1"/>
  <c r="U269" i="70"/>
  <c r="W269" i="70" s="1"/>
  <c r="Y269" i="70" s="1"/>
  <c r="U121" i="70"/>
  <c r="W121" i="70" s="1"/>
  <c r="Y121" i="70" s="1"/>
  <c r="S95" i="70"/>
  <c r="U95" i="70" s="1"/>
  <c r="W95" i="70" s="1"/>
  <c r="Y95" i="70" s="1"/>
  <c r="U96" i="70"/>
  <c r="W96" i="70" s="1"/>
  <c r="Y96" i="70" s="1"/>
  <c r="Q258" i="70"/>
  <c r="U258" i="70" s="1"/>
  <c r="W258" i="70" s="1"/>
  <c r="Y258" i="70" s="1"/>
  <c r="U275" i="70"/>
  <c r="W275" i="70" s="1"/>
  <c r="Y275" i="70" s="1"/>
  <c r="Q112" i="70"/>
  <c r="U112" i="70" s="1"/>
  <c r="W112" i="70" s="1"/>
  <c r="Y112" i="70" s="1"/>
  <c r="U119" i="70"/>
  <c r="W119" i="70" s="1"/>
  <c r="Y119" i="70" s="1"/>
  <c r="Q331" i="70" l="1"/>
  <c r="S331" i="70"/>
  <c r="W331" i="70"/>
  <c r="Y332" i="70" s="1"/>
  <c r="Y331" i="70"/>
  <c r="U331" i="70" l="1"/>
  <c r="X330" i="70"/>
</calcChain>
</file>

<file path=xl/sharedStrings.xml><?xml version="1.0" encoding="utf-8"?>
<sst xmlns="http://schemas.openxmlformats.org/spreadsheetml/2006/main" count="1807" uniqueCount="549">
  <si>
    <t>Program Pelayanan Administrasi Perkantoran</t>
  </si>
  <si>
    <t>13 Kec.</t>
  </si>
  <si>
    <t>40 Buku</t>
  </si>
  <si>
    <t>40 orang</t>
  </si>
  <si>
    <t>KABUPATEN TANJUNG JABUNG BARAT</t>
  </si>
  <si>
    <t>Urusan Wajib</t>
  </si>
  <si>
    <t>Penyediaan jasa surat menyurat</t>
  </si>
  <si>
    <t>Tersedianya perangko, Materai surat menyurat</t>
  </si>
  <si>
    <t>Penyediaan jasa komunikasi sumber daya air dan listrik</t>
  </si>
  <si>
    <t>Terlaksananya pembayaran jasa komunikasi , air dan listrik</t>
  </si>
  <si>
    <t>Penyediaan jasa administrasi keuangan</t>
  </si>
  <si>
    <t>Penyediaan jasa kebersihan kantor</t>
  </si>
  <si>
    <t>Penyediaan Alat Tulis Kantor</t>
  </si>
  <si>
    <t>Tersedianya alat-alat tulis kantor</t>
  </si>
  <si>
    <t>Tersedianya barang cetakan dan penggandaan</t>
  </si>
  <si>
    <t>Penyediaan bahan bacaan dan peraturan perundang-undangan</t>
  </si>
  <si>
    <t>12 Bulan</t>
  </si>
  <si>
    <t xml:space="preserve"> </t>
  </si>
  <si>
    <t>12 bulan</t>
  </si>
  <si>
    <t>Penyediaan Iklan Layanan</t>
  </si>
  <si>
    <t>Penyediaan iklan layanan</t>
  </si>
  <si>
    <t>Program Peningkatan Sarana dan Prasarana Aparatur</t>
  </si>
  <si>
    <t>Pengadaan Kendaraan Dinas operasional kantor</t>
  </si>
  <si>
    <t>Pengadaan Perlengkapan Gedung Kantor</t>
  </si>
  <si>
    <t>Pengadaan peralatan gedung kantor</t>
  </si>
  <si>
    <t>Pemeliharaan rutin/berkala gedung kantor</t>
  </si>
  <si>
    <t>Pemeliharaan rutin/berkala kendaraan dinas operasional</t>
  </si>
  <si>
    <t>Pengadaan Pakaian Dinas beserta perlengkapannya</t>
  </si>
  <si>
    <t>Program Peningkatan Kapasitas Sumber Daya Aparatur</t>
  </si>
  <si>
    <t>Sosialisasi yang terkait dengan kesetaraan gender, pemberdayaan perempuan dan perlindungan anak</t>
  </si>
  <si>
    <t>Peningkatan kapasitas jaringan kelembagaan pemberdayaan perempuan dan anak</t>
  </si>
  <si>
    <t>Penguatan kelembagaan pemberdayaan perempuan dan perlindungan anak</t>
  </si>
  <si>
    <t>50 orang</t>
  </si>
  <si>
    <t>25 orang</t>
  </si>
  <si>
    <t xml:space="preserve"> -1 FAD KAB.</t>
  </si>
  <si>
    <t>Meningkatnya SDM perempuan dalam mengelola usaha ekonomi keluarga</t>
  </si>
  <si>
    <t>Peningkatan kapasitas DWP Kabupaten Tanjung Jabung Barat</t>
  </si>
  <si>
    <t>53 SKPD</t>
  </si>
  <si>
    <t>Peningkatan kapasitas GOW Kabupaten Tanjab Barat</t>
  </si>
  <si>
    <t>Meningkatnya kinerja pengurus dan anggota DWP</t>
  </si>
  <si>
    <t>Peningkatan kapasitas GOW Kab. Tanjab Barat</t>
  </si>
  <si>
    <t>Terwujudnya pelayanan administrasi perkantoran</t>
  </si>
  <si>
    <t>Program peningkatan Disiplin  Aparatur</t>
  </si>
  <si>
    <t xml:space="preserve">Mengikuti Bimtek </t>
  </si>
  <si>
    <t>Sosialisasi dan advokasi kebijakan perlindungan tenaga kerja perempuan</t>
  </si>
  <si>
    <t>Tersedianya Buku Profil Gender</t>
  </si>
  <si>
    <t>Fasilitasi Pengembangan Pusat Pelayanan Terpadu Pemberdayaan Perempuan dan Perlindungan Anak(P2TP2A)</t>
  </si>
  <si>
    <t>Terlayaninya Perempuan dan Anak korban kekerasan</t>
  </si>
  <si>
    <t>Pembinaan Forum Anak Daerah dan Peringatan Hari Anak Nasional</t>
  </si>
  <si>
    <t>Jumlah terbinanya Forum Anak Daerah</t>
  </si>
  <si>
    <t>4 kali</t>
  </si>
  <si>
    <t>20 Buku</t>
  </si>
  <si>
    <t>Sosialisasi Akte Kelahiran Bebas Biaya</t>
  </si>
  <si>
    <t>Sosialisasi GN-AKSA</t>
  </si>
  <si>
    <t>Pembinaan dan penilaian Gerakan Sayang Ibu (GSI) dan Kecamatan Sayang Ibu (KSI)</t>
  </si>
  <si>
    <t>Jumlah Kecamatan dan Desa GSI dan KSI</t>
  </si>
  <si>
    <t xml:space="preserve"> Bimbingan menejemen usaha bagi perempuan dalam mengelola usaha ekonomi keluarga</t>
  </si>
  <si>
    <t>Terlaksananya pelayanan KB bagi keluarga miskin</t>
  </si>
  <si>
    <t>Terwujudnya disiplin Aparatur</t>
  </si>
  <si>
    <t xml:space="preserve"> -Terlaksananya rakor gugus tugas KLA</t>
  </si>
  <si>
    <t xml:space="preserve"> -Penyusunan Rencana Aksi Daerah</t>
  </si>
  <si>
    <t>Pengembangan SDM</t>
  </si>
  <si>
    <t xml:space="preserve"> -12 Bulan</t>
  </si>
  <si>
    <t xml:space="preserve"> - 1 Paket</t>
  </si>
  <si>
    <t xml:space="preserve"> - 1 unit Mesin Ginset</t>
  </si>
  <si>
    <t xml:space="preserve"> -2  Set Komputer</t>
  </si>
  <si>
    <t xml:space="preserve"> -2 Unit Lap Top</t>
  </si>
  <si>
    <t>Menigkatnya kinerja  petugas lapangan KB dalam pelayanan KB</t>
  </si>
  <si>
    <t>78 peserta</t>
  </si>
  <si>
    <t>Terlaksananya kegiatan pertemuan/Rakor Kader kelompok Bina Keluarga (BKB,BKR,BKL) dalam rangka peningkatan ketahanan keluarga</t>
  </si>
  <si>
    <t>Sosialisasi program Pusat Pelayanan Keluarga Sejahtera di Kecamatan</t>
  </si>
  <si>
    <t>Terbinanya Kader-kader KB dan terpilihnya Kader Kelompok terbaik Tingkat Kabupaten</t>
  </si>
  <si>
    <t xml:space="preserve"> -</t>
  </si>
  <si>
    <t>Meningkatnya kualitas laporan capaian kinerja dan keuangan SKPD</t>
  </si>
  <si>
    <t>Target</t>
  </si>
  <si>
    <t xml:space="preserve"> -10 Unit Kursi Susun</t>
  </si>
  <si>
    <t>(Futura)</t>
  </si>
  <si>
    <t xml:space="preserve"> -5 Unit Kursi Putar</t>
  </si>
  <si>
    <t xml:space="preserve"> - 5 Unit UPS</t>
  </si>
  <si>
    <t xml:space="preserve"> -3 Printer+Infus</t>
  </si>
  <si>
    <t>25 Unit</t>
  </si>
  <si>
    <t>65 Stel</t>
  </si>
  <si>
    <t xml:space="preserve"> -Penyusunan Data baseAnak</t>
  </si>
  <si>
    <t>4 Perusahaan</t>
  </si>
  <si>
    <t>BKB, BKR,BKL</t>
  </si>
  <si>
    <t xml:space="preserve">40 orang </t>
  </si>
  <si>
    <t>24 kelompok/</t>
  </si>
  <si>
    <t>Kader</t>
  </si>
  <si>
    <t>Terlaksananya peeringatan Hari Keluarga Nasional(HARGANAS) Tk. Kab./Provinsi</t>
  </si>
  <si>
    <t>Penyelenggaraan Hari Keluarga Nasional (HARGANAS)</t>
  </si>
  <si>
    <t>150 orang</t>
  </si>
  <si>
    <t>JUMLAH</t>
  </si>
  <si>
    <t>Rapat-rapat koordinasi dan konsultasi ke luar daerah</t>
  </si>
  <si>
    <t>Pemeliharaan rutin/berkala peralatan gedung kantor</t>
  </si>
  <si>
    <t>Arsip</t>
  </si>
  <si>
    <t xml:space="preserve"> -2 Unit lemari</t>
  </si>
  <si>
    <t>Meningkatnya pengetahuan masyarakat tentang pentingnya penyelenggaraan pelayanan konseling kesehatan dalam keluarga</t>
  </si>
  <si>
    <t>18 Unit roda 4 dan roda 2</t>
  </si>
  <si>
    <t>Persentase pelayanan  administrasi perkantoran/keuangan</t>
  </si>
  <si>
    <t>Persentase pelayanan administrasi perkantoran</t>
  </si>
  <si>
    <t>Penyediaan komponen instalasi listrik/penerangan bangunan kantor</t>
  </si>
  <si>
    <t>Penyediaan barang cetakan dan penggandaan</t>
  </si>
  <si>
    <t>Jumlah peraturan dan koran bahan bacaan</t>
  </si>
  <si>
    <t>Penyediaan makanan dan minuman rapat</t>
  </si>
  <si>
    <t>Jumlah rapat makan dan minum</t>
  </si>
  <si>
    <t>12 kali rapat</t>
  </si>
  <si>
    <t>Jumlah/persentase koordinasi dan konsultasi dalam dan luar daerah</t>
  </si>
  <si>
    <t>Jumlah pengadaan kendaraan Dinas Roda Empat dan Roda Dua operasional kantor</t>
  </si>
  <si>
    <t>Jumlah pengadaan perlengkapan  gedung kantor</t>
  </si>
  <si>
    <t>Jumlah pengadaan peralatan gedung kantor</t>
  </si>
  <si>
    <t xml:space="preserve">Jumlah pemeliharaan/perbaikan  sarana gedung kantor </t>
  </si>
  <si>
    <t>Jumlah Pengadaan pakaian dinas dan perlengkapannya</t>
  </si>
  <si>
    <t>Program pengembangan sistem pelaporan capaian kinerja dan keuangan</t>
  </si>
  <si>
    <t xml:space="preserve">Kegiatan penyusunan laporan capaian kinerja dan ikhtisar realisasi SKPD </t>
  </si>
  <si>
    <t>Jumlah jenis laporan dan persentase capaian kinerja dan realisasi keuangan</t>
  </si>
  <si>
    <t>Persentase pembinaan tenaga kerja perempuan di perusahaan</t>
  </si>
  <si>
    <t>koran</t>
  </si>
  <si>
    <t>6 majalah/</t>
  </si>
  <si>
    <t>12 bln</t>
  </si>
  <si>
    <t>300 lbr/</t>
  </si>
  <si>
    <t>Urusan Pemberdayaan Perempuan dan Perlindungan Anak</t>
  </si>
  <si>
    <t>100 orang</t>
  </si>
  <si>
    <t xml:space="preserve">5 UPTB dan PLKB dalam 13 Kec </t>
  </si>
  <si>
    <t xml:space="preserve"> -13 FAD KEC. </t>
  </si>
  <si>
    <t>I</t>
  </si>
  <si>
    <t>II</t>
  </si>
  <si>
    <t>III</t>
  </si>
  <si>
    <t>IV</t>
  </si>
  <si>
    <t>V</t>
  </si>
  <si>
    <t>VI</t>
  </si>
  <si>
    <t>VII</t>
  </si>
  <si>
    <t>VIII</t>
  </si>
  <si>
    <t xml:space="preserve">Jumlah pemeliharaan/ perbaikan  peralatan  gedung kantor </t>
  </si>
  <si>
    <t>Jumlah pemeliharaan/ perbaikan kendaraan dinas operasional</t>
  </si>
  <si>
    <t>Meningkatnya pengetahuan masyarakat tentang prosedur akte bebas biaya</t>
  </si>
  <si>
    <t>Jumlah tenaga SKPD yang mampu menyusun anggaran yang responsif gender</t>
  </si>
  <si>
    <t>Jumlah peserta yang mengikuti sosialisasi GN-AKSA</t>
  </si>
  <si>
    <t>22 ORG</t>
  </si>
  <si>
    <t>Pembuatan Dokumen Rencana Anggaran Biaya (RAB) bangunan kantor</t>
  </si>
  <si>
    <t>3200  KB Baru</t>
  </si>
  <si>
    <t>42.879  KB Aktif</t>
  </si>
  <si>
    <t>(Pertemuan kader  kelompok)</t>
  </si>
  <si>
    <t>13 kelompok</t>
  </si>
  <si>
    <t>Sosialisasi Sekolah Ramah Anak</t>
  </si>
  <si>
    <t>Kegiatan pengembangan Kota Layak Anak(KLA)</t>
  </si>
  <si>
    <t>Jumlah peserta dari Dinas Instansi terkait dan siswa mengikuti sosialisasi</t>
  </si>
  <si>
    <t>Jumlah peserta dari Puskesmas  dan steakholders mengikuti sosialisasi</t>
  </si>
  <si>
    <t>Sosialisasi Pengembangan Puskesmas   Ramah Anak</t>
  </si>
  <si>
    <t>Pelatihan bagi SDM pelayanan dan pendampingan korban KDRT</t>
  </si>
  <si>
    <t>Jumlah peserta pelatihan  pendampingan KDRT</t>
  </si>
  <si>
    <t>Peningkatan kinerja petugas Lapangan KB di Kecamatan</t>
  </si>
  <si>
    <t>Sosialisasi Kesehatan Reproduksi bagi Remaja</t>
  </si>
  <si>
    <t>PUS Pra Sejahtera dan KS I anggota kelompok UPPKS yang mengikuti pelatihan/pembinaan usaha ekonomi produktif</t>
  </si>
  <si>
    <t>Peningkatan katahanan pemberdayaan dan kesejahteraan keluarga Pra Sejahtera dan KS I</t>
  </si>
  <si>
    <t>40 orang dari 2 Kelompok UPPKS</t>
  </si>
  <si>
    <t>12 jenis laporan/4 x rakor/monev.</t>
  </si>
  <si>
    <t>Dokumen</t>
  </si>
  <si>
    <t>134 Kader PPKBD dan 268 Sub PPKBD</t>
  </si>
  <si>
    <t>Program Kependudukan Keluarga Berencana dan Pembangunan Keluarga</t>
  </si>
  <si>
    <t xml:space="preserve"> -Persentase laju pertumbuhan penduduk</t>
  </si>
  <si>
    <t xml:space="preserve"> -Penurunan persentase angka Pra Keluarga Sejahtera(KS)</t>
  </si>
  <si>
    <t>Program Penguatan Kelembagaan PUG dan Anak</t>
  </si>
  <si>
    <t>Jlh yang melapor</t>
  </si>
  <si>
    <t>(Gerakan Nasional Anti Kekerasan,Seksual terhadap Anak)</t>
  </si>
  <si>
    <t>Peningkatan pelayanan dan pembinaan program keluarga berencana</t>
  </si>
  <si>
    <t>Indek Pembangunan Gender (IPG)</t>
  </si>
  <si>
    <t xml:space="preserve">Urusan Pengendalian Penduduk dan Keluarga Berencana </t>
  </si>
  <si>
    <t>Meningkatnya  kinerja  SDM Aparatur Pemerintah</t>
  </si>
  <si>
    <t>Meningkatnya  sarana dan prasarana Aparatur</t>
  </si>
  <si>
    <t>5 Desa</t>
  </si>
  <si>
    <t>Program Peningkatan Peran Serta Kesetaraan Gender dalam Pembangunan</t>
  </si>
  <si>
    <t>2,29%</t>
  </si>
  <si>
    <t>Pertemuan program keluarga berencana dan pelayanan Kb bagi keluarga miskin  (Gardu kencana)</t>
  </si>
  <si>
    <t xml:space="preserve">Jumlah peserta yang ikut dalam pertemuan Gardu Kencana </t>
  </si>
  <si>
    <t>Pertemuan Kader kelompok Bina Keluarga di Kecamatan</t>
  </si>
  <si>
    <t>Fasiltasi  Pembentukan Kader  kelompok masyarakat peduli KB</t>
  </si>
  <si>
    <t>Terbentuknya kelompok Kader peduli KB Institusi Masyarakat Pedesaan (IMP)</t>
  </si>
  <si>
    <t xml:space="preserve">Terlaksananya  sosialisasi tentang Kesehatan Reproduksi </t>
  </si>
  <si>
    <t>30 remaja</t>
  </si>
  <si>
    <t xml:space="preserve">Lomba program Keluarga Berencana Tingkat Kabupaten </t>
  </si>
  <si>
    <t xml:space="preserve"> Pembentukan Kampung KB</t>
  </si>
  <si>
    <t xml:space="preserve">Terbentuknya Kampung KB </t>
  </si>
  <si>
    <t>12 Kampung KB di kecamatan dan 49 desa/kelurahan tertinggal</t>
  </si>
  <si>
    <t>Pelatihan pencatatan pelaporan pelayanan KB</t>
  </si>
  <si>
    <t>Terlatihnya petugas klinik KB puskesmas</t>
  </si>
  <si>
    <t>Petugas pencatatan dan pelaporan Klinik KB</t>
  </si>
  <si>
    <t xml:space="preserve">Sosialisasi pendidikan kependudukan melalui jalur formal sekolah siaga kependudukan </t>
  </si>
  <si>
    <t xml:space="preserve">Terlaksananya sosialisasi pendidikan kependudukan di sekolah </t>
  </si>
  <si>
    <t>Orientasi pendidikan kependudukian bagi kader/ masyarakat di kampung KB</t>
  </si>
  <si>
    <t xml:space="preserve">Terlaksananya orientasi pendidikan kependudukan bagi kader /masyarakat di kampung KB </t>
  </si>
  <si>
    <t>40 orang kader,toma,toga,topa</t>
  </si>
  <si>
    <t xml:space="preserve">Sosialisasi program Genre remaja dan anak sekolah </t>
  </si>
  <si>
    <t>40 remaja sekolah</t>
  </si>
  <si>
    <t>PENGENDALIAN PENDUDUK DAN KELUARGA BERENCANA</t>
  </si>
  <si>
    <t>Dra.Hj. ENI HARRIYATI</t>
  </si>
  <si>
    <t>Pembina  Utama Madya</t>
  </si>
  <si>
    <t>Plt.KEPALA DINAS PEMBERDAYAAN PEREMPUAN, PERLINDUNGAN ANAK</t>
  </si>
  <si>
    <t>No</t>
  </si>
  <si>
    <t>Lokasi</t>
  </si>
  <si>
    <t>Hasil Program</t>
  </si>
  <si>
    <t>Tolok Ukur</t>
  </si>
  <si>
    <t>Sumber Dana</t>
  </si>
  <si>
    <t>APBD</t>
  </si>
  <si>
    <t>TA.2018</t>
  </si>
  <si>
    <t>Terlaksananya pembangunan Gedung Bertingkat Kantor P3AP2KB</t>
  </si>
  <si>
    <t>Pelaksanaan Pembangunan Gedung Bertingkat Kantor P3AP2KB Kab. Tanjab Barat</t>
  </si>
  <si>
    <t>Perencanaan Pembangunan Rehab Total Gedung Bertingkat Kantor P3AP2KB Kab Tanjab Barat</t>
  </si>
  <si>
    <t>Monitoring dan pelaporan data Terpilah</t>
  </si>
  <si>
    <t>Sosialisasi Penanganan Anak Berkebutuhan Khusus (ABK)</t>
  </si>
  <si>
    <t>Sosialisasi kampung KB</t>
  </si>
  <si>
    <t>Meningkatnya pengetahuan masyarakat terhadap penanganan anak berkebutuhan khusus</t>
  </si>
  <si>
    <t>Keluaran Kegiatan</t>
  </si>
  <si>
    <t>Kebutuhan Dana</t>
  </si>
  <si>
    <t>Urusan/Bidang Urusan Pemerintah Daerah dan Program/Kegiatan</t>
  </si>
  <si>
    <t>INDIKATOR KINERJA</t>
  </si>
  <si>
    <t>1 kali  kegiatan Harganas</t>
  </si>
  <si>
    <t>Guru konseling di sekolah</t>
  </si>
  <si>
    <t xml:space="preserve">Terlaksananya sosialisasi kampung KB </t>
  </si>
  <si>
    <t>TA.2019</t>
  </si>
  <si>
    <t>Prakiraan Maju</t>
  </si>
  <si>
    <t>MATRIK RENCANA KERJA ( RENJA) PROGRAM DAN KEGIATAN TAHUN 2018 DAN PRAKIRAAN MAJU TAHUN 2019</t>
  </si>
  <si>
    <t>Kec.Tkl.Ilir</t>
  </si>
  <si>
    <t>Kuala Tungkal</t>
  </si>
  <si>
    <t>13 Kecamatan</t>
  </si>
  <si>
    <t>1 Kecamatan</t>
  </si>
  <si>
    <t xml:space="preserve"> Kuala Tungkal</t>
  </si>
  <si>
    <t>Kab.Tanjab Barat</t>
  </si>
  <si>
    <t>Dinas P3AP2KB</t>
  </si>
  <si>
    <t>Kuala Tungkal,          Februari       2017</t>
  </si>
  <si>
    <t>Program Pendukung</t>
  </si>
  <si>
    <t>Program Strategis</t>
  </si>
  <si>
    <t>9 Desa/Kel.</t>
  </si>
  <si>
    <t>DINAS PEMBERDAYAAN PEREMPUAN, PERLINDUNGAN ANAK, PENGENDALIAN PENDUDUK DAN KELUARGA BERENCANA(P3AP2KB)</t>
  </si>
  <si>
    <t>1 (satu) kmpng KB</t>
  </si>
  <si>
    <t>K</t>
  </si>
  <si>
    <t>Satuan</t>
  </si>
  <si>
    <t>unit</t>
  </si>
  <si>
    <t>%</t>
  </si>
  <si>
    <t>orang</t>
  </si>
  <si>
    <t>Orang</t>
  </si>
  <si>
    <t>FORMULIR E. 81</t>
  </si>
  <si>
    <t>EVALUASI TERHADAP HASIL RENJA PERANGKAT DAERAH LINGKUP KABUPATEN/KOTA</t>
  </si>
  <si>
    <t>Rp.</t>
  </si>
  <si>
    <t>13 = 6 + 12</t>
  </si>
  <si>
    <t>14 = 13/5 x 100%</t>
  </si>
  <si>
    <t>RENJA DINAS PEMBERDAYAAN PEREMPUAN, PERLINDUNGAN ANAK, PENGENDALIAN PENDUDUK DAN KELUARGA BERENCANA</t>
  </si>
  <si>
    <t>Sasaran</t>
  </si>
  <si>
    <t>Meningkatnya Implementasi Kabupaten Layak Anak</t>
  </si>
  <si>
    <t>Kasus</t>
  </si>
  <si>
    <t>Sekolah</t>
  </si>
  <si>
    <t>Program, Kegiatan dan Sub Kegiatan</t>
  </si>
  <si>
    <t>Indikator Kinerja  Sasaran, Program (Outcome) dan Kegiatan (Output)</t>
  </si>
  <si>
    <t>Unit Kerja PD Penanggung jawab</t>
  </si>
  <si>
    <t>Meningkatnya Akuntabilitas Kinerja Pemerintah</t>
  </si>
  <si>
    <t>PROGRAM PENUNJANG URUSAN PEMERINTAHAN DAERAH KABUPATEN/ KOTA</t>
  </si>
  <si>
    <t>Persentase Penyediaan Komponen Penunjang Pelayanan Kantor</t>
  </si>
  <si>
    <t xml:space="preserve">Sekretariat DP3AP2KB </t>
  </si>
  <si>
    <t>Sekretariat DP3AP2KB</t>
  </si>
  <si>
    <t>Dokumen.</t>
  </si>
  <si>
    <t>Laporan</t>
  </si>
  <si>
    <t>Administrasi Keuangan Perangkat Daerah</t>
  </si>
  <si>
    <t>Laporan Keuangan Tahunan OPD</t>
  </si>
  <si>
    <t>Administrasi Kepegawaian Perangkat Daerah</t>
  </si>
  <si>
    <t>Persen</t>
  </si>
  <si>
    <t>Paket</t>
  </si>
  <si>
    <t>Administrasi Umum Perangkat Daerah</t>
  </si>
  <si>
    <t>Penyediaan Peralatan dan Perlengkapan Kantor</t>
  </si>
  <si>
    <t>Penyediaan Bahan Logistik Kantor</t>
  </si>
  <si>
    <t>Penyediaan Bahan Bacaan dan Peraturan Perundang-undangan</t>
  </si>
  <si>
    <t>Penyelenggaraan Rapat Koordinasi dan Konsultasi SKPD</t>
  </si>
  <si>
    <t xml:space="preserve">Pengadaan Barang Milik Daerah Penunjang Urusan Pemerintah Daerah </t>
  </si>
  <si>
    <t xml:space="preserve">Unit </t>
  </si>
  <si>
    <t>Unit</t>
  </si>
  <si>
    <t>Pengadaan Peralatan dan Mesin Lainnya</t>
  </si>
  <si>
    <t>Pengadaan Gedung Kantor dan Bangunan Lainnya</t>
  </si>
  <si>
    <t>Pengadaan Sarana dan Prasarana Gedung Kantor atau Bangunan Lainnya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</si>
  <si>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</si>
  <si>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</si>
  <si>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</si>
  <si>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</si>
  <si>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Peralatan dan Mesin Lainnya</t>
  </si>
  <si>
    <t>PROGRAM PENGARUSUTAMAAN GENDER DAN PEMBERDAYAAN PEREMPUAN</t>
  </si>
  <si>
    <t>Persentase OPD dan Desa melaksanakan PPRG</t>
  </si>
  <si>
    <t xml:space="preserve">Bid. Pemberdayaan Perempuan </t>
  </si>
  <si>
    <t>Pelembagaan  Pengarusutamaan Gender (PUG) pada lembaga Pemerintah Kewenangan Kabupaten/Kota</t>
  </si>
  <si>
    <t>Jumlah Kelembagaan PUG</t>
  </si>
  <si>
    <t>Lembaga PUG</t>
  </si>
  <si>
    <t>Koordinasi dan sinkronisasi perumusan kebijakan pelaksanaan PUG</t>
  </si>
  <si>
    <t>Advokasi kebijakan dan pendampingan pelaksanaan PUG termasuk PPRG</t>
  </si>
  <si>
    <t>Perangkat Daerah</t>
  </si>
  <si>
    <t>Sosialisasi kebijakan pelaksanaan PUG termasuk PPRG</t>
  </si>
  <si>
    <t>Pemberdayaan Perempuan Bidang Politik,Hukum, Sosial, dan ekonomi pada organisasi kemasyarakatan kewenangan Kab/Kota</t>
  </si>
  <si>
    <t xml:space="preserve">Jumlah perempuan  yang berperan/partisipasi  dibidang politik, hukum, sosial dan ekonomi </t>
  </si>
  <si>
    <t>Penguatan dan Pengembangan Lembaga Penyedia Layanan Pemberdayaan Perempuan Kewenangan Kab/Kota</t>
  </si>
  <si>
    <t>Jumlah lembaga penyedia layanan pemberdayaan perempuan</t>
  </si>
  <si>
    <t>Lembaga Layanan PP</t>
  </si>
  <si>
    <t>Lembaga</t>
  </si>
  <si>
    <t>PROGRAM PERLINDUNGAN PEREMPUAN</t>
  </si>
  <si>
    <t>Persentase layanan penanganan pengaduan kekerasan</t>
  </si>
  <si>
    <t>Layanan</t>
  </si>
  <si>
    <t>Penguatan dan Pengembangan Lembaga Penyedia Layanan Perlindungan Perempuan Tingkat Daerah Kab/Kota</t>
  </si>
  <si>
    <t>Jumlah unit layanan pengaduan kekerasan</t>
  </si>
  <si>
    <t>unit layanan</t>
  </si>
  <si>
    <t>PROGRAM PENINGKATAN KUALITAS KELUARGA</t>
  </si>
  <si>
    <t>Persentase Keluarga memperoleh edukasi kualitas keluarga</t>
  </si>
  <si>
    <t>Jumlah keluarga memperoleh edukasi kualitas keluarga melalui KG</t>
  </si>
  <si>
    <t>Keluarga</t>
  </si>
  <si>
    <t>Pusat Layanan Keluarga</t>
  </si>
  <si>
    <t>Profile Gender</t>
  </si>
  <si>
    <t>Program Pemenuhan Hak Anak (PHA)</t>
  </si>
  <si>
    <t>Persentase Pemenuhan hak anak yang terpenuhi</t>
  </si>
  <si>
    <t>Bidang Perlindungan dan Pemenuhan Hak Anak</t>
  </si>
  <si>
    <t>Jumlah Pelembagaan PHA pada Lembaga Pemerintah, Non pemerintah dan Dunia Usaha yang dibina</t>
  </si>
  <si>
    <t>Lembaga PHA</t>
  </si>
  <si>
    <t>Organisasi</t>
  </si>
  <si>
    <t>Jumlah lembaga penyedia layanan peningkatan kualitas hidup anakyang dilakukan penguatan dan pengembangan</t>
  </si>
  <si>
    <t>Program Perlindungan Khusus Anak</t>
  </si>
  <si>
    <t>Persentase anak yang memproleh layanan perlindungan khusus</t>
  </si>
  <si>
    <t>Jumlah upaya pencegahan kekerasanterhadap anak yang melibatkan para pihak</t>
  </si>
  <si>
    <t>upaya pencegahan</t>
  </si>
  <si>
    <t>Jumlah anak yang memerlukan perlindungan khusus yang mendapat layanan</t>
  </si>
  <si>
    <t>Jumlah lembaga penyedia layanan bagi anak yang memerlukan perlindungan khusus</t>
  </si>
  <si>
    <t>Unit layanan PA</t>
  </si>
  <si>
    <t>Program Pengendalian Penduduk</t>
  </si>
  <si>
    <t>Persentase Laju Pertumbuhan Penduduk (LPP)</t>
  </si>
  <si>
    <t xml:space="preserve">Bid. Pengendalian Penduduk, Penyuluhan &amp; Penggerakan </t>
  </si>
  <si>
    <t>Persentase Perangkat Daerah yang menyusun dan memanfaatkan Grand Design Pengendalian Penduduk</t>
  </si>
  <si>
    <t xml:space="preserve">Jumlah Kebijakan (Perda/ Perbup) yang mengatur tentang Pengendalian Kuantitas dan Kualitas Penduduk </t>
  </si>
  <si>
    <t>Kebijakan/ Perda/ Perbup/ SSK/ GDPK</t>
  </si>
  <si>
    <t>Satuan Pendidikan</t>
  </si>
  <si>
    <t>Jumlah profil kependudukan yang update tingkat kabupaten</t>
  </si>
  <si>
    <t>Profil     KKBPK</t>
  </si>
  <si>
    <t>Program Pembinaan Keluarga Berencana (KB)</t>
  </si>
  <si>
    <t>Persentase tingkat ketidakberlangsungan pemakaian alat kontrasepsi (Drop Out KB)</t>
  </si>
  <si>
    <t>Pelaksanaan Advokasi, Komunikasi, Informasi dan Edukasi (KIE) Pengendalian Penduduk dan KB Sesuai Kearifan Budaya Lokal</t>
  </si>
  <si>
    <t xml:space="preserve">Frekuensi pelaksanaan advokasi KIE pengendalian penduduk dan KB </t>
  </si>
  <si>
    <t>Cakupan PKB/PLKB yang didayagunakan dalam penyuluhan dan penggerakan program KKBPK</t>
  </si>
  <si>
    <t>Penggerakan Kader Institusi Masyarakat Pedesaan (IMP)</t>
  </si>
  <si>
    <t>Persentase Penggunaan Kontrasepsi jangka panjang (MKJP)</t>
  </si>
  <si>
    <t xml:space="preserve">Bid. KB &amp; Ketahanan Kesejahteraan Keluarga </t>
  </si>
  <si>
    <t>Persentase ormas/mitra kerja yang berpartisipasi aktif dalam pengelolaan pelayanan dan pembinaan kesertaan ber-KB</t>
  </si>
  <si>
    <t>Program Pemberdayaan dan Peningkatan Keluarga Sejahtera (KS)</t>
  </si>
  <si>
    <t>Cakupan anggota Poktan  yang ber-KB (BKB. BKR, BKL, UPPKS)</t>
  </si>
  <si>
    <t>Jumlah Kelompok Kegiatan (Poktan) yang mendapatlkan pembinaan KKS</t>
  </si>
  <si>
    <t>Poktan</t>
  </si>
  <si>
    <t>Kelompok</t>
  </si>
  <si>
    <t>Drs. H. Muhammad Yunus</t>
  </si>
  <si>
    <t>Pembina Utama Muda</t>
  </si>
  <si>
    <t>Pencegahan Kekerasan Terhadap Perempuan Lingkup Daerah/ Kabupaten</t>
  </si>
  <si>
    <t>Jumlah perempuan korban kekerasan</t>
  </si>
  <si>
    <t>Target Renstra Perangkat Daerah pada Tahun 2026 (Akhir periode Renstra Perangkat Daerah)</t>
  </si>
  <si>
    <t>RP</t>
  </si>
  <si>
    <t>Rp</t>
  </si>
  <si>
    <t>TRIWULAN I</t>
  </si>
  <si>
    <t>TRIWULAN II</t>
  </si>
  <si>
    <t>TRIWULAN III</t>
  </si>
  <si>
    <t>TRIWULAN IV</t>
  </si>
  <si>
    <t>Pengolahan dan Pelaporan Data Pengendalian Lapangan dan Pelayanan KB</t>
  </si>
  <si>
    <t>Pengendalian Program KKBPK</t>
  </si>
  <si>
    <t>Peningkatan Kesertaan Penggunaan Metode Kontrasepsi jangka panjang (MKJP)</t>
  </si>
  <si>
    <t>Penyediaan Sarana Penunjang Pelayanan KB</t>
  </si>
  <si>
    <t>Pembinaan Pelayanan Keluarga Berencana dan Kesehatan Reproduksi di Fasilitasi Kesehatan termasuk jaringan dan jejaringnya</t>
  </si>
  <si>
    <t>Meningakatnya Implementasi Pengarus Utamaan Gender, peran serta dan Kesetaraan Gender dalam Pembangunan</t>
  </si>
  <si>
    <t>Terkendalinya Kuantitas dan kualitas penduduk serta pemanfaatan bonus demografi</t>
  </si>
  <si>
    <t>Meningkatnya Ketahanan, Kesejahteraan Keluarga dan Kualitas Pelayanan Keluarga Berencana dan Kesehatan Reproduksi</t>
  </si>
  <si>
    <t>Pelaksanaan Mekanisme Operasional Program KKBPK melalui Rapat Koordinasi Kecamatan (Rakorcam), Rapat Kordinasi Desa (Rakordes), dan Mini Lokakarya (Minilok)</t>
  </si>
  <si>
    <t>Rata-Rata Capaian Kinerja Program</t>
  </si>
  <si>
    <t>Prediksi Kinerja Program</t>
  </si>
  <si>
    <t>Target Kinerja dan Anggaran Renja PD Tahun berjalan yang dievaluasi 2024</t>
  </si>
  <si>
    <t>Pemeliharaan Barang Milik Daerah Penunjang Urusan Pemerintah Daerah</t>
  </si>
  <si>
    <t>Realisasi Capaian Kinerja dan Anggaran Renja PD yang dievaluasi (Tahun 2024)</t>
  </si>
  <si>
    <t xml:space="preserve">Sekretariat Dinas P3AP2KB </t>
  </si>
  <si>
    <t>Realisasi capaian Kinerja  Renstra Perangkat Daerah s/d Renja Perangkat Daerah  Tahun Lalu (2023)</t>
  </si>
  <si>
    <t>kali</t>
  </si>
  <si>
    <t>Realisasi Kinerja dan Anggaran Renstra SKPD s/d Akhir Tahun 2024</t>
  </si>
  <si>
    <t>Tersedianya Dokumen Perencanaan PD dan Laporan Capaian Kinerja dan Ikhtisar Realisasi Kinerja</t>
  </si>
  <si>
    <t>Jumlah BMD penunjang urusan OPD</t>
  </si>
  <si>
    <t>Cakupan penyediaan jasa penunjang urusan pemerintah daerah</t>
  </si>
  <si>
    <t>Cakupan layanan adminstrasi umum</t>
  </si>
  <si>
    <t>25,50%</t>
  </si>
  <si>
    <t>1,91</t>
  </si>
  <si>
    <t>19,62%</t>
  </si>
  <si>
    <t>Jumlah barang milik daerah penunjang urusan pemerintahan daerah</t>
  </si>
  <si>
    <t>REALISASI KINERJA PADA 2024</t>
  </si>
  <si>
    <t>Administrasi barang milik daerah pada perangkat daerah</t>
  </si>
  <si>
    <t>Kartu inventaris barang milik daerah</t>
  </si>
  <si>
    <t>Kartu inventaris</t>
  </si>
  <si>
    <t>Tingkat kehadiran pegawai</t>
  </si>
  <si>
    <t>kartu inventaris</t>
  </si>
  <si>
    <t>persen</t>
  </si>
  <si>
    <t>Unit layanan</t>
  </si>
  <si>
    <t>Jumlah pusat layanan keluarga</t>
  </si>
  <si>
    <t>Pusat layanan keluarga</t>
  </si>
  <si>
    <t>PROGRAM PENGELOLAAN SISTEM DATA GENDER DAN ANAK</t>
  </si>
  <si>
    <t>Persentase OPD memiliki data pilah berdasarkan jenis kelamin</t>
  </si>
  <si>
    <t>Pengumpulan pengolahan analisis dan penyajian data gender dan anak dalam kelembagaan data di tingkat daerah kabupaten/kota</t>
  </si>
  <si>
    <t>Peningkatan kualitas keluarga dalam mewujudkan kesetaraan gender (KG) dan Hak anak Tingkat Daerah Kab/Kota</t>
  </si>
  <si>
    <t>profie gender</t>
  </si>
  <si>
    <t>Profile gender kabupaten tanjung jabung</t>
  </si>
  <si>
    <t>unit/item/set</t>
  </si>
  <si>
    <t>dokumen</t>
  </si>
  <si>
    <t>kasus</t>
  </si>
  <si>
    <t>layanan</t>
  </si>
  <si>
    <t>Unit Layanan PA</t>
  </si>
  <si>
    <t>Kali</t>
  </si>
  <si>
    <t>Jumlah Dokumen Hasil Penyediaan Administrasi</t>
  </si>
  <si>
    <t>Penyediaan Administrasi Pelaksanaan Tugas ASN</t>
  </si>
  <si>
    <t>Penyediaan Komponen Instalasi Listrik/Penerangan Bangunan Kantor</t>
  </si>
  <si>
    <t>Jumlah Paket Komponen Instalasi Listrik/ Penerangan</t>
  </si>
  <si>
    <t>Bulan</t>
  </si>
  <si>
    <t>Jumlah paket bahan logistik kantor yang disediakan</t>
  </si>
  <si>
    <t>Penyediaan Barang Cetak dan Pengadaan</t>
  </si>
  <si>
    <t>Jumlah Paket Barang Cetakan dan Penggandaan yang disediakan</t>
  </si>
  <si>
    <t>Jumlah Paket Peralatan dan Perlengkapan Kantor</t>
  </si>
  <si>
    <t>Jumlah Laporan Penyelenggaraan Rapat</t>
  </si>
  <si>
    <t>Penyediaan Jasa Pemeliharaan, Biaya Pemeliharaan, Pajak, dan Perizinan Kendaraan Dinas Operasional atau Lapangan</t>
  </si>
  <si>
    <t>Jumlah peralatan dan mesin lainnya</t>
  </si>
  <si>
    <t>Pemeliharaan/ Rehabilitaasi Gedung Kantor dan Bangunan Lainnya</t>
  </si>
  <si>
    <t>Jumlah Gedung Kantor dan Bangunan Lainnya yang dipelihara/Rehabilitasi</t>
  </si>
  <si>
    <t>Penyediaan Jasa Pemeliharaan, Biaya Pemeliharaan, dan Pajak Kendaraan Perorangan Dinas atau Kendaraan Dinas Jabatan</t>
  </si>
  <si>
    <t>Jumlah Kendaraan Dinas Operasional atau Lapangan yang dipelihara dan dibayarkan pajaknya dan perizinannya</t>
  </si>
  <si>
    <t>Jumlah Kendaraan Perorangan Dinas atau Kendaraan Dinas Jabatan yang dipelihara dan dibayarkan pajaknya</t>
  </si>
  <si>
    <t>Koordinasi dan Penyusunan Laporan Capaian Kinerja dan Ikhtisar Realisasi Kinerja SKPD</t>
  </si>
  <si>
    <t>Jumlah Laporan Capaian Kinerja dan Ikhtsar Realisasi Kinerja SKPD dan Laporan Hasil Koordinasi Penyusunan Laporan Capaian Kinerja dan Ikhtisar Realisasi Kinerja SKPD</t>
  </si>
  <si>
    <t>Penyediaan Gaji dan Tunjangan ASN</t>
  </si>
  <si>
    <t>Jumlah Orang yang Menerima Gaji dan Tunjangan ASN</t>
  </si>
  <si>
    <t>Orang/Bulan</t>
  </si>
  <si>
    <t>Pengadaan Kendaraan Dinas Operasional atau Lapangan</t>
  </si>
  <si>
    <t>Jumlah unit kendaraan Dinas Operasional atau Lapangan yang disediakan</t>
  </si>
  <si>
    <t>Koordinasi dan Sinkronisasi Pelaksanaan Kebijakan, Program dan Kegiatan Pencegahan Kekerasan Terhadap Perempuan Lingkungan Daerah Kabupaten/Kota</t>
  </si>
  <si>
    <t>Jumlah Dokumen Hasil Koordinasi dan Sinkronisasi Perumusan Kebijakan Pengarusutamaan Gender (PUG) Kewenangan Kabupaten/Kota</t>
  </si>
  <si>
    <t>Koordinasi dan sinkronisasi pelaksanaan penyediaan layanan rujukan lanjutan bagi perempuan korban kekerasan kewenangan kabupaten/ kota</t>
  </si>
  <si>
    <t>Jumlah layanan tindak lanjut pengadaan yang memerlukan koordinasi dan sinkronisasi bagi perempuan korban kekerasan kewenangan kabupaten/kota</t>
  </si>
  <si>
    <t>Penyusunan kebijakan Perlindungan Khusus Anak Kewenangan kab/kota</t>
  </si>
  <si>
    <t>Jumlah kebijakan perlindungan khusus anak ditingkat kab/kota</t>
  </si>
  <si>
    <t>Koordinasi Pelaksanaan Pelayanan AMPK</t>
  </si>
  <si>
    <t>Jumlah AMPK yang mendapat layanan</t>
  </si>
  <si>
    <t>Penguatan Jejaring Antara Lembaga Penyedia Layanan Perlindungan Bagi AMPK Tingkat Daerah Kab/kota</t>
  </si>
  <si>
    <t>Jumlah kegiatan kerjasama antar lembaga penyedia layanan AMPK</t>
  </si>
  <si>
    <t>Kegiatan</t>
  </si>
  <si>
    <t>Peningkatan Kapasitas SDM Lembaga Penyedia Layanan Perlindungan dan Penanganan bagi AMPK Tingkat Daerah Kab/Kota</t>
  </si>
  <si>
    <t>Jumlah SDM Penyedia Layanan yang terlatih dan mendapatkan sertifikat Perlindungan dan Penanganan AMPK</t>
  </si>
  <si>
    <t>Jumlah Laporan Hasil Pembinaan Pelayanan  Keluarga Berencana dan Kesehatan Reproduksi di Fasilitasi Kesehatan termasuk jaringan dan jejaringnya</t>
  </si>
  <si>
    <t xml:space="preserve">Pengelolaan Operasional dan Sarana di Balai Penyuluh Bangga Kencana </t>
  </si>
  <si>
    <t>Jumlah Laporan Hasil Pengelolaan Operasional dan Sarana di Balai Penyuluhan Bangga Kencana (Pembangunan Keluarga, Kependudukan, dan Keluarga Berencana)</t>
  </si>
  <si>
    <t>Jumlah Laporan Mekanisme Operasional Program KKBPK melalui Rapat Koordinasi Kecamatan (Rakorcam), Rapat Kordinasi Desa (Rakordes), dan Mini Lokakarya (Minilok)</t>
  </si>
  <si>
    <t>Komunikasi Informasi dan Edukasi (KIE) Program Bangga Kencana sesuai kearifn budaya lokal</t>
  </si>
  <si>
    <t>Jumlah Komunikasi Informasi dan Edukasi (KIE) Program Bangga Kencana (Pembangunan Keluarga, Kependudukan, dan Keluarga Berencana) sesuai kearifn budaya lokal</t>
  </si>
  <si>
    <t>Jumlah Orang yang Mengikuti Kesertaan Penggunaan Metode Kontrasepsi Jangka Panjang (MKJP)</t>
  </si>
  <si>
    <t>Pelaksanaan dan pengelolaan Program Bangga Kencana di Kampung Keluarga Berkualitas</t>
  </si>
  <si>
    <t>Jumlah Kampung Keluarga Berkualitas yang mengikuti Pelaksanaan dan Pengelolaan Bangga Kencana (Pembangunan Keluarga, Kependudukan, dan Keluarga Berencana)</t>
  </si>
  <si>
    <t>Promosi dan Sosialisasi Kelompok Kegiatan Ketahanan dan Kesejahteraan Keluarga (BKB, BKR, BKL, PPKS, PIK-R, dan Usaha Peningkatan Pendapatan Keluarga Akseptor (UPPKA)</t>
  </si>
  <si>
    <t>Jumlah Laporan Hasil Promosi dan Sosialisasi Kelompok Kegiatan Ketahanan dan Kesejahteraan Keluarga (BKB, BKR, BKL, PPKS, PIK-R, dan Usaha Peningkatan Pendapatan Keluarga Akseptor (UPPKA)</t>
  </si>
  <si>
    <t>Penyajian dan Pemanfaatan Data Gender dan Anak dalam Kelembagaan Data di Kewenangan Kabupaten/Kota</t>
  </si>
  <si>
    <t>Jumlah Dokumen Penyajian dan Pemanfaatan Data Gender dan Anak dalam Kelembagaan Data di Kewenangan Kabupaten/Kota</t>
  </si>
  <si>
    <t>-</t>
  </si>
  <si>
    <t>Perencanaan,Penganggaran, dan Evaluasi Kinerja Perangkat Daerah</t>
  </si>
  <si>
    <t>Penyediaan Biaya Operasional Bagi Pengelola dan Pelaksana (Kader) Ketahanan dan Kesejahteraan Keluarga (BKB, BKR, BKL, PPKS, PIK-R, dan Usaha Peningkatan Pendapatan Keluarga Akseptor (UPPKA)</t>
  </si>
  <si>
    <t>Jumlah Kader  Pengelola dan Pelaksana (Kader) Ketahanan dan Kesejahteraan Keluarga (BKB, BKR, BKL, PPKS, PIK-R, dan Usaha Peningkatan Pendapatan Keluarga Akseptor (UPPKA)</t>
  </si>
  <si>
    <t>Pengadaan Sarana Kelompok Kegiatan Ketahanan dan Kesejahteraan Keluarga  (BKB, BKR, BKL, PPKS, PIK-R, dan Usaha Peningkatan Pendapatan Keluarga Akseptor (UPPKA)</t>
  </si>
  <si>
    <t>Jumlah Unit Sarana Kelompok Kegiatan Ketahanan dan Kesejahteraan Keluarga  (BKB, BKR, BKL, PPKS, PIK-R, dan Usaha Peningkatan Pendapatan Keluarga Akseptor (UPPKA)</t>
  </si>
  <si>
    <t>Koordinasi dan Penyusunan Laporan Keuangan Bulanan/ Triwulan/ Semesteran SKPD</t>
  </si>
  <si>
    <t>Jumlah Laporan Keuangan  Bulanan/ Triwulan/ Semesteran SKPD dan Laporan Koordinasi Penyusunan Laporan Keuangan  Bulanan/ Triwulan/ Semesteran SKPD</t>
  </si>
  <si>
    <t xml:space="preserve">Paket </t>
  </si>
  <si>
    <t>Jumlah Dokumen Bahan Bacaan  dan Peraturan Perundang-undangan yang disediakan</t>
  </si>
  <si>
    <t>Penatausahaan Barang Milik Daerah pada SKPD</t>
  </si>
  <si>
    <t>Jumlah Laporan Penatausahaan Barang Milik Daerah pada SKPD</t>
  </si>
  <si>
    <t>Pengadaaan Pakaian Dinas beserta Atribut Kelengkapannya</t>
  </si>
  <si>
    <t>Koordinasi dan Pelaksanaan Sistem Informasi Kepegawaian</t>
  </si>
  <si>
    <t>Pendidikan dan Pelatihan Pegawai Berdasarkan Tugas dan Fungsi</t>
  </si>
  <si>
    <t>Jumlah Dokumen Hasil Koordinasi dan Pelaksanaan Sistem Informasi Kepegawaian</t>
  </si>
  <si>
    <t>Jumlah Pegawai Berdasarkan Tugas dan Fungsi yang Mengikuti Pendidikan dan Pelatihan</t>
  </si>
  <si>
    <t>Penyusunan Dokumen Perencanaan Perangkat Daerah</t>
  </si>
  <si>
    <t>Jumlah  Dokumen Perencanaan Perangkat Daerah</t>
  </si>
  <si>
    <t>Evaluasi Kinerja Perangkat Daerah</t>
  </si>
  <si>
    <t>Jumlah Laporan Evaluasi Kinerja Perangkat Daerah</t>
  </si>
  <si>
    <t>Pengadaan Kendaraan Perorangan Dinas atau Kendaraan Dinas Jabatan</t>
  </si>
  <si>
    <t>Jumlah unit kendaraan perorangan Dinas atau Kendaraan Dinas Jabatan</t>
  </si>
  <si>
    <t>Pengadaan Mebel</t>
  </si>
  <si>
    <t>Jumlah Paket Mebel yang disediakan</t>
  </si>
  <si>
    <t>Jumlah Unit Pengadaan Gedung Kantor dan Bangunan Lainnya yang Disediakan</t>
  </si>
  <si>
    <t>Jumlah Unit sarana dan Prasarana Gedung Kantor atau Bangunan Lainnya yang disediakan</t>
  </si>
  <si>
    <t>Jumlah Dokumen Hasil Koordinasi i dan sinkronisasi perumusan kebijakan Pengarusutamaan Gender (PUG) Kewenangan Kab/Kota</t>
  </si>
  <si>
    <t>Jumlah Perangkat Daerah yang Mengikuti Sosialisasi kebijakan pelaksanaan Pengarusutamaan Gender (PUG) Termasuk Perencanaan Pembangunan Responsif Gender (PPRG) Kewenangan Kabupaten/Kota</t>
  </si>
  <si>
    <t>Advokasi Kebijakan dan Pendampingan Layanan Perlindungan Perempuan Kewenangan Kab/Kota</t>
  </si>
  <si>
    <t>Jumlah Perangkat Daerah yang Mendapat Advokasi dan Pendampingan  Layanan Perlindungan Perempuan Kewenangan Kab/Kota</t>
  </si>
  <si>
    <t>Penguatan dan pengembangan lembaga penyedia layanan peningkatan kualitas keluarga dalam mewujudkan Hikekeluargaan dan hak anak yang wilayah kerjanya dalam daerah Kabupaten/ Kota</t>
  </si>
  <si>
    <t xml:space="preserve">Advokasi Kebijakan dan Pendampingan Pengembangan Lembaga Penyedia Layanan Peningkatan Kualitas Keluarga Tingkat Daerah Kabupaten/Kota </t>
  </si>
  <si>
    <t>Jumlah Lembaga Penyedia Layanan Peningkatan Kualitas Keluarga yang mendapat advokasi dan pendampingan</t>
  </si>
  <si>
    <t>Peningkatan Kapasitas Sumber Daya Lembaga Penyedia Layanan Peningkatan Kualitas Keluarga Tingkat Daerah Kabupaten/ Kota</t>
  </si>
  <si>
    <t>Jumlah  Sumber Daya Lembaga Penyedia Layanan Peningkatan Kualitas Keluarga yang mendapat Peningkatan Kapasitas Keluarga Kewenangan Kabupaten/ Kota</t>
  </si>
  <si>
    <t>Koordinasi dan Sinkronisasi Pelaksanaan Pendampingan Peningkatan Kualitas Hidup Anak Tingkat Daerah Kabupaten/Kota</t>
  </si>
  <si>
    <t>Jumlah Dokumen Hasil Koordinasi dan Sinkronisasi Pelaksanaan Pendampingan Peningkatan Kualitas Hidup Anak Tingkat Daerah Kabupaten/Kota</t>
  </si>
  <si>
    <t>Pengembangan Komunikasi, Informasi dan Edukasi Pemenuhan Hak Anak bagi Lembaga Penyedia Layanan Peningkatan Kualitas Hidup Anak Tingkat Daerah Kabupaten/ Kota</t>
  </si>
  <si>
    <t>Jumlah Dokumen Hasil Pengembangan Komunikasi, Informasi dan Edukasi (KIE) Pemenuhan Hak Anak bagi Lembaga Penyedia Layanan Peningkatan Kualitas Hidup Anak Tingkat Daerah Kabupaten/ Kota</t>
  </si>
  <si>
    <t>Koordinasi dan Sinkronisasi Pencegahan Kekerasan Terhadap Anak Kewenangan Kabupaten/ Kota</t>
  </si>
  <si>
    <t>Jumlah Dokumen Hasil Koordinasi dan Sinkronisasi Pencegahan Kekerasan Terhadap Anak Kewenangan Kabupaten/ Kota</t>
  </si>
  <si>
    <t>Koordinasi dan Sinkronisasi Peningkatan Kapasitas Sumber Daya Lembaga Penyedia Layanan Anak yang memerlukan Perlindungan Khusus Tingkat Daerah Kabupaten/ Kota</t>
  </si>
  <si>
    <t>Jumlah Dokumen Hasil Koordinasi dan Sinkronisasi Peningkatan Kapasitas Sumber Daya Lembaga Penyedia Layanan Anak yang memerlukan Perlindungan Khusus Tingkat Daerah Kabupaten/ Kota</t>
  </si>
  <si>
    <t>Koordinasi dan Sinkronisasi Penguatan Jejaring antar Lembaga Penyedia Layanan Anak  yang memerlukan Perlindungan Khusus Tingkat Daerah Kabupaten/ Kota</t>
  </si>
  <si>
    <t>Jumlah Dokumen Hasil Koordinasi dan Sinkronisasi Penguatan Jejaring antar Lembaga Penyedia Layanan Anak  yang memerlukan Perlindungan Khusus Tingkat Daerah Kabupaten/ Kota</t>
  </si>
  <si>
    <t>Advokasi, Sinkronisasi dan Fasiliasi Pelaksanaan Pendidikan Kependudukan Jalur Formal di Satuan Pendidikan Jenjang SD/MI, SLTP/MTs, Jalur Nonformal, dan informal</t>
  </si>
  <si>
    <t>Jumlah Satuan Pendidikan yang Mendapatkan Advokasi, Sinkronisasi dan Fasiliasi Pelaksanaan Pendidikan Kependudukan Jalur Formal di Satuan Pendidikan Jenjang SD/MI, SLTP/MTs, Jalur Nonformal, dan informal</t>
  </si>
  <si>
    <t>Fasilitasi Pelaksanaan Penyuluhan, Penggerakan, Pelayanan dan Pengembangan Program Bangga Kencana untuk Petugas Keluarga Berencana/ Penyuluhan Lapangan Keluarga Berencana (PKB/PLKB)</t>
  </si>
  <si>
    <t>Jumlah Laporan Hasil Penguatan Pelaksanaan Penyuluhan, Penggerakan, Pelayanan dan Pengembangan Program Bangga Kencana untuk Petugas Keluarga Berencana/ Penyuluhan Lapangan Keluarga Berencana (PKB/PLKB)</t>
  </si>
  <si>
    <t>Penguatan Pelaksanaan Penyuluhan, Penggerakan, Pelayanan dan Pengembangan Program KKBPK untuk Petugas Keluarga Berencana/ Penyuluh Lapangan Keluarga Berencana (PKB/ PLKB)</t>
  </si>
  <si>
    <t>Jumlah Laporan Hasil Penguatan Pelaksanaan Penyuluhan, Penggerakan, Pelayanan dan Pengembangan Program KKBPK untuk Petugas Keluarga Berencana/ Penyuluh Lapangan Keluarga Berencana (PKB/ PLKB)</t>
  </si>
  <si>
    <t>Pembentukan Kelompok Ketahanan dan Kesejahteraan Keluarga (Bina Keluarga Balita (BKB), Bina Keluarga Remaja (BKR), Pusat Informasi dan Konseling Remaja (PIK-R), Bina Keluarga Lansia (BKL), Unit Peningkatan Pendapatan Keluarga Sejahtera (UPPKS) dan Pemberdayaan Ekonomi Keluarga)</t>
  </si>
  <si>
    <t>Jumlah  Kelompok Ketahanan dan Kesejahteraan Keluarga (Bina Keluarga Balita (BKB), Bina Keluarga Remaja (BKR), Pusat Informasi dan Konseling Remaja (PIK-R), Bina Keluarga Lansia (BKL), Unit Peningkatan Pendapatan Keluarga Sejahtera (UPPKS) dan Pemberdayaan Ekonomi Keluarga) yang dibentuk</t>
  </si>
  <si>
    <t>Orientasi Pelaksanaan Teknis Pengelola Ketahanan dan Kesejahteraan Keluarga (BKB, BKR, BKL, PPPKS, PIK-R, dan Pemberdayaan Ekonomi Keluarga/ UPPKS)</t>
  </si>
  <si>
    <t>Jumlah Laporan Hasil Orientasi Pelaksanaan Teknis Pengelola Ketahanan dan Kesejahteraan Keluarga (BKB, BKR, BKL, PPPKS, PIK-R, dan Pemberdayaan Ekonomi Keluarga/ UPPKS)</t>
  </si>
  <si>
    <t>Jumlah Paket Pakaian Dinas beserta Atribut Kelengkapannya</t>
  </si>
  <si>
    <t>dalduk</t>
  </si>
  <si>
    <t>pp</t>
  </si>
  <si>
    <t>pha</t>
  </si>
  <si>
    <t>jumlah</t>
  </si>
  <si>
    <t>Pencatatan dan pengumpulan data keluarga</t>
  </si>
  <si>
    <t>Jumlah Laporan pencatatan dan pengumpulan data keluarga</t>
  </si>
  <si>
    <t>Jumlah dokumen Pengolahan dan Pelaporan Data Pengendalian Lapangan dan Pelayanan KB</t>
  </si>
  <si>
    <t>Dokmen</t>
  </si>
  <si>
    <t>Jumlah unit penyediaan sarana penunjang pelayanan KB</t>
  </si>
  <si>
    <t>Penyusunan Rencana Kebutuhan Alat dan Obat Kontrasepsi (Alokon) dan Sarana Penunjang Pelayanan KB</t>
  </si>
  <si>
    <t>Jumlah Dokumen Penyusunan Kebutuhan Alat dan Obat Kontrasepsi (Alokon) dan Sarana Penunjang Pelayanan KB</t>
  </si>
  <si>
    <t>Peningkatan kompetensi tenaga pelayanan Keluarga Berencana dan Kesehatan Reproduksi</t>
  </si>
  <si>
    <t>Jumlah tenaga pelayanan yang mengikuti Peningkatan kompetensi tenaga pelayanan Keluarga Berencana dan Kesehatan Reproduksi</t>
  </si>
  <si>
    <t>Integrasi Pembangunan Lintas Sektor di Kampung KB</t>
  </si>
  <si>
    <t>Jumlah Dokumen Hasil Integrasi Pembangunan Lintas Sektor di Kampung KB</t>
  </si>
  <si>
    <t>Kampung</t>
  </si>
  <si>
    <t>s</t>
  </si>
  <si>
    <t>Orang/ Bulan</t>
  </si>
  <si>
    <t>Faktor Pendorong Keberhasilan Kinerja :</t>
  </si>
  <si>
    <t>Faktor Penghambat Pencapaian Kinerja :</t>
  </si>
  <si>
    <t>Tindak Lanjut yang diperlukan dalam triwulan berikutnya :</t>
  </si>
  <si>
    <t>Tindak Lanjut yang diperlukan dalam Renja Perangkat Daerah Kabupaten/Kota berikutnya :</t>
  </si>
  <si>
    <t>Disusun</t>
  </si>
  <si>
    <t>Dievaluasi</t>
  </si>
  <si>
    <t>Kepala Dinas Pemberdayaan Perempuan Perlindungan Anak</t>
  </si>
  <si>
    <t>Plt. Kepala Badan Perencanaan Pembangunan Daerah</t>
  </si>
  <si>
    <t>Pengendalian Penduduk dan Keluarga Berencana</t>
  </si>
  <si>
    <t>Kabupaten Tanjung Jabung Barat,</t>
  </si>
  <si>
    <t>Pembina Tk.1 (IV / b)</t>
  </si>
  <si>
    <t>NIP.19680417 198810 1 001</t>
  </si>
  <si>
    <t>NIP. 19731116 200003 1 002</t>
  </si>
  <si>
    <t>Kuala Tungkal,          Januari 2025</t>
  </si>
  <si>
    <t>Kuala Tungkal,       Januari 2025</t>
  </si>
  <si>
    <t>Orang/bulan</t>
  </si>
  <si>
    <t>PERIODE PELAKSANAAN : TRIWULAN IV (OKTOBER, NOVEMBER, DESEMBER) TAHUN 2024</t>
  </si>
  <si>
    <t>Tingkat Capaian Kinerja dan Realisasi Anggran Renstra PD s/d Tahun 2024 (%)</t>
  </si>
  <si>
    <t>Feri Noprianto,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</si>
</sst>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_(* #,##0.00_);_(* \(#,##0.00\);_(* &quot;-&quot;_);_(@_)"/>
    <numFmt numFmtId="168" formatCode="_-* #,##0_-;\-* #,##0_-;_-* &quot;-&quot;??_-;_-@_-"/>
    <numFmt numFmtId="169" formatCode="#,##0;[Red]#,##0"/>
    <numFmt numFmtId="170" formatCode="0.0000"/>
    <numFmt numFmtId="171" formatCode="0.00;[Red]0.00"/>
    <numFmt numFmtId="172" formatCode="_(* #,##0.0_);_(* \(#,##0.0\);_(* &quot;-&quot;?_);_(@_)"/>
    <numFmt numFmtId="173" formatCode="0.000%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Lucida Bright"/>
      <family val="1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Lucida Bright"/>
      <family val="1"/>
    </font>
    <font>
      <b/>
      <u/>
      <sz val="10"/>
      <name val="Lucida Bright"/>
      <family val="1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rgb="FFFF0000"/>
      <name val="Arial Narrow"/>
      <family val="2"/>
    </font>
    <font>
      <b/>
      <u/>
      <sz val="10"/>
      <color theme="1"/>
      <name val="Arial Narrow"/>
      <family val="2"/>
    </font>
    <font>
      <sz val="10"/>
      <name val="Arial"/>
      <family val="2"/>
    </font>
    <font>
      <b/>
      <u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43" fontId="25" fillId="0" borderId="0" applyFont="0" applyFill="0" applyBorder="0" applyAlignment="0" applyProtection="0"/>
  </cellStyleXfs>
  <cellXfs count="1078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justify" vertical="justify" wrapText="1"/>
    </xf>
    <xf numFmtId="0" fontId="4" fillId="0" borderId="3" xfId="0" applyFont="1" applyBorder="1" applyAlignment="1">
      <alignment vertical="justify" wrapText="1"/>
    </xf>
    <xf numFmtId="0" fontId="4" fillId="0" borderId="3" xfId="0" applyFont="1" applyBorder="1"/>
    <xf numFmtId="0" fontId="5" fillId="0" borderId="3" xfId="0" applyFont="1" applyBorder="1" applyAlignment="1">
      <alignment vertical="justify" wrapText="1"/>
    </xf>
    <xf numFmtId="0" fontId="4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0" fontId="5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right"/>
    </xf>
    <xf numFmtId="9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vertical="justify" wrapText="1"/>
    </xf>
    <xf numFmtId="3" fontId="4" fillId="0" borderId="3" xfId="0" applyNumberFormat="1" applyFont="1" applyBorder="1" applyAlignment="1">
      <alignment wrapText="1"/>
    </xf>
    <xf numFmtId="0" fontId="4" fillId="0" borderId="0" xfId="0" applyFont="1"/>
    <xf numFmtId="0" fontId="4" fillId="0" borderId="5" xfId="0" applyFont="1" applyBorder="1"/>
    <xf numFmtId="0" fontId="5" fillId="0" borderId="3" xfId="0" applyFont="1" applyBorder="1" applyAlignment="1">
      <alignment wrapText="1"/>
    </xf>
    <xf numFmtId="0" fontId="4" fillId="0" borderId="0" xfId="0" applyFont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2" fillId="0" borderId="3" xfId="0" applyFont="1" applyBorder="1"/>
    <xf numFmtId="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justify" vertical="justify" wrapText="1"/>
    </xf>
    <xf numFmtId="0" fontId="2" fillId="0" borderId="3" xfId="0" applyFont="1" applyBorder="1" applyAlignment="1">
      <alignment vertical="justify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/>
    </xf>
    <xf numFmtId="9" fontId="2" fillId="0" borderId="3" xfId="0" applyNumberFormat="1" applyFont="1" applyBorder="1" applyAlignment="1">
      <alignment vertical="justify" wrapText="1"/>
    </xf>
    <xf numFmtId="0" fontId="2" fillId="0" borderId="3" xfId="0" applyFont="1" applyBorder="1" applyAlignment="1">
      <alignment horizontal="left" vertical="justify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/>
    </xf>
    <xf numFmtId="0" fontId="7" fillId="0" borderId="3" xfId="0" applyFont="1" applyBorder="1"/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justify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justify" wrapText="1"/>
    </xf>
    <xf numFmtId="0" fontId="2" fillId="0" borderId="3" xfId="0" applyFont="1" applyBorder="1" applyAlignment="1">
      <alignment vertical="top" wrapText="1"/>
    </xf>
    <xf numFmtId="0" fontId="2" fillId="0" borderId="3" xfId="0" quotePrefix="1" applyFont="1" applyBorder="1" applyAlignment="1">
      <alignment vertical="justify" wrapText="1"/>
    </xf>
    <xf numFmtId="0" fontId="0" fillId="0" borderId="3" xfId="0" applyBorder="1" applyAlignment="1">
      <alignment vertical="justify" wrapText="1"/>
    </xf>
    <xf numFmtId="10" fontId="7" fillId="0" borderId="3" xfId="0" applyNumberFormat="1" applyFont="1" applyBorder="1" applyAlignment="1">
      <alignment horizontal="center"/>
    </xf>
    <xf numFmtId="10" fontId="7" fillId="0" borderId="3" xfId="0" applyNumberFormat="1" applyFont="1" applyBorder="1" applyAlignment="1">
      <alignment horizontal="center" vertical="justify" wrapText="1"/>
    </xf>
    <xf numFmtId="9" fontId="7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vertical="top" wrapText="1"/>
    </xf>
    <xf numFmtId="0" fontId="0" fillId="0" borderId="5" xfId="0" applyBorder="1" applyAlignment="1">
      <alignment horizontal="center"/>
    </xf>
    <xf numFmtId="3" fontId="2" fillId="0" borderId="3" xfId="0" applyNumberFormat="1" applyFont="1" applyBorder="1"/>
    <xf numFmtId="164" fontId="2" fillId="0" borderId="3" xfId="1" applyFont="1" applyBorder="1"/>
    <xf numFmtId="3" fontId="2" fillId="0" borderId="3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164" fontId="2" fillId="0" borderId="3" xfId="1" applyFont="1" applyBorder="1" applyAlignment="1">
      <alignment horizontal="right"/>
    </xf>
    <xf numFmtId="164" fontId="2" fillId="0" borderId="3" xfId="1" applyFont="1" applyFill="1" applyBorder="1"/>
    <xf numFmtId="164" fontId="2" fillId="0" borderId="3" xfId="1" applyFont="1" applyFill="1" applyBorder="1" applyAlignment="1">
      <alignment horizontal="center" vertical="justify" wrapText="1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 vertical="center"/>
    </xf>
    <xf numFmtId="0" fontId="6" fillId="0" borderId="3" xfId="0" applyFont="1" applyBorder="1"/>
    <xf numFmtId="3" fontId="2" fillId="0" borderId="3" xfId="0" applyNumberFormat="1" applyFont="1" applyBorder="1" applyAlignment="1">
      <alignment horizontal="right" vertical="top" wrapText="1"/>
    </xf>
    <xf numFmtId="0" fontId="0" fillId="0" borderId="12" xfId="0" applyBorder="1"/>
    <xf numFmtId="0" fontId="6" fillId="0" borderId="7" xfId="0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7" fillId="0" borderId="5" xfId="0" applyFont="1" applyBorder="1" applyAlignment="1">
      <alignment horizontal="justify" vertical="justify" wrapText="1"/>
    </xf>
    <xf numFmtId="0" fontId="2" fillId="0" borderId="5" xfId="0" applyFont="1" applyBorder="1"/>
    <xf numFmtId="0" fontId="7" fillId="0" borderId="0" xfId="0" applyFont="1" applyAlignment="1">
      <alignment horizontal="justify" vertical="justify" wrapText="1"/>
    </xf>
    <xf numFmtId="0" fontId="0" fillId="0" borderId="4" xfId="0" applyBorder="1"/>
    <xf numFmtId="0" fontId="4" fillId="0" borderId="12" xfId="0" applyFont="1" applyBorder="1"/>
    <xf numFmtId="0" fontId="2" fillId="0" borderId="12" xfId="0" applyFont="1" applyBorder="1"/>
    <xf numFmtId="0" fontId="7" fillId="0" borderId="3" xfId="0" applyFont="1" applyBorder="1" applyAlignment="1">
      <alignment vertical="justify" wrapText="1"/>
    </xf>
    <xf numFmtId="0" fontId="2" fillId="0" borderId="5" xfId="0" applyFont="1" applyBorder="1" applyAlignment="1">
      <alignment horizontal="justify" vertical="justify" wrapText="1"/>
    </xf>
    <xf numFmtId="0" fontId="2" fillId="0" borderId="12" xfId="0" applyFont="1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4" fillId="0" borderId="12" xfId="0" applyFont="1" applyBorder="1" applyAlignment="1">
      <alignment vertical="justify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vertical="justify" wrapText="1"/>
    </xf>
    <xf numFmtId="0" fontId="2" fillId="0" borderId="0" xfId="0" applyFont="1" applyAlignment="1">
      <alignment vertical="justify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vertical="justify" wrapText="1"/>
    </xf>
    <xf numFmtId="0" fontId="7" fillId="0" borderId="6" xfId="0" applyFont="1" applyBorder="1" applyAlignment="1">
      <alignment vertical="justify" wrapText="1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2" fillId="0" borderId="3" xfId="1" applyFont="1" applyBorder="1" applyAlignment="1">
      <alignment horizontal="right" vertical="center"/>
    </xf>
    <xf numFmtId="164" fontId="2" fillId="0" borderId="3" xfId="1" applyFont="1" applyBorder="1" applyAlignment="1">
      <alignment vertical="center" wrapText="1"/>
    </xf>
    <xf numFmtId="164" fontId="8" fillId="0" borderId="3" xfId="1" applyFont="1" applyBorder="1" applyAlignment="1">
      <alignment horizontal="center" vertical="justify" wrapText="1"/>
    </xf>
    <xf numFmtId="164" fontId="2" fillId="0" borderId="3" xfId="1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/>
    <xf numFmtId="3" fontId="2" fillId="0" borderId="12" xfId="0" applyNumberFormat="1" applyFont="1" applyBorder="1"/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top"/>
    </xf>
    <xf numFmtId="3" fontId="8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3" fontId="7" fillId="0" borderId="7" xfId="0" applyNumberFormat="1" applyFont="1" applyBorder="1"/>
    <xf numFmtId="164" fontId="7" fillId="0" borderId="14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3" fontId="2" fillId="0" borderId="0" xfId="0" applyNumberFormat="1" applyFont="1"/>
    <xf numFmtId="0" fontId="7" fillId="0" borderId="12" xfId="0" applyFont="1" applyBorder="1" applyAlignment="1">
      <alignment horizontal="justify" vertical="justify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vertical="justify" wrapText="1"/>
    </xf>
    <xf numFmtId="0" fontId="7" fillId="0" borderId="13" xfId="0" applyFont="1" applyBorder="1" applyAlignment="1">
      <alignment wrapText="1"/>
    </xf>
    <xf numFmtId="164" fontId="17" fillId="0" borderId="0" xfId="3" applyFont="1" applyFill="1" applyBorder="1" applyAlignment="1">
      <alignment vertical="center"/>
    </xf>
    <xf numFmtId="164" fontId="16" fillId="0" borderId="0" xfId="3" applyFont="1" applyFill="1" applyBorder="1" applyAlignment="1">
      <alignment vertical="center" wrapText="1"/>
    </xf>
    <xf numFmtId="164" fontId="16" fillId="0" borderId="0" xfId="3" applyFont="1" applyFill="1" applyBorder="1" applyAlignment="1">
      <alignment vertical="center"/>
    </xf>
    <xf numFmtId="164" fontId="23" fillId="0" borderId="0" xfId="3" applyFont="1" applyFill="1" applyBorder="1" applyAlignment="1">
      <alignment vertical="center"/>
    </xf>
    <xf numFmtId="164" fontId="16" fillId="2" borderId="28" xfId="3" applyFont="1" applyFill="1" applyBorder="1" applyAlignment="1">
      <alignment horizontal="center" vertical="top" wrapText="1"/>
    </xf>
    <xf numFmtId="9" fontId="16" fillId="2" borderId="0" xfId="4" applyFont="1" applyFill="1" applyBorder="1" applyAlignment="1">
      <alignment horizontal="center" vertical="top" wrapText="1"/>
    </xf>
    <xf numFmtId="9" fontId="16" fillId="2" borderId="6" xfId="4" applyFont="1" applyFill="1" applyBorder="1" applyAlignment="1">
      <alignment horizontal="center" vertical="top" wrapText="1"/>
    </xf>
    <xf numFmtId="0" fontId="1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vertical="center" wrapText="1"/>
    </xf>
    <xf numFmtId="164" fontId="16" fillId="0" borderId="0" xfId="6" applyNumberFormat="1" applyFont="1" applyAlignment="1">
      <alignment vertical="center" wrapText="1"/>
    </xf>
    <xf numFmtId="0" fontId="16" fillId="2" borderId="21" xfId="6" applyFont="1" applyFill="1" applyBorder="1" applyAlignment="1">
      <alignment vertical="top" wrapText="1"/>
    </xf>
    <xf numFmtId="0" fontId="16" fillId="2" borderId="28" xfId="6" applyFont="1" applyFill="1" applyBorder="1" applyAlignment="1">
      <alignment horizontal="justify" vertical="top" wrapText="1"/>
    </xf>
    <xf numFmtId="164" fontId="17" fillId="2" borderId="28" xfId="6" applyNumberFormat="1" applyFont="1" applyFill="1" applyBorder="1" applyAlignment="1">
      <alignment horizontal="center" vertical="top" wrapText="1"/>
    </xf>
    <xf numFmtId="164" fontId="17" fillId="0" borderId="0" xfId="6" applyNumberFormat="1" applyFont="1" applyAlignment="1">
      <alignment vertical="center"/>
    </xf>
    <xf numFmtId="0" fontId="16" fillId="0" borderId="3" xfId="6" applyFont="1" applyBorder="1" applyAlignment="1">
      <alignment horizontal="left" vertical="top" wrapText="1"/>
    </xf>
    <xf numFmtId="9" fontId="16" fillId="2" borderId="28" xfId="6" applyNumberFormat="1" applyFont="1" applyFill="1" applyBorder="1" applyAlignment="1">
      <alignment horizontal="center" vertical="center" wrapText="1"/>
    </xf>
    <xf numFmtId="164" fontId="16" fillId="2" borderId="28" xfId="6" applyNumberFormat="1" applyFont="1" applyFill="1" applyBorder="1" applyAlignment="1">
      <alignment horizontal="left" vertical="center" wrapText="1"/>
    </xf>
    <xf numFmtId="0" fontId="23" fillId="0" borderId="0" xfId="6" applyFont="1" applyAlignment="1">
      <alignment vertical="center"/>
    </xf>
    <xf numFmtId="0" fontId="16" fillId="2" borderId="28" xfId="6" applyFont="1" applyFill="1" applyBorder="1" applyAlignment="1">
      <alignment horizontal="center" vertical="top" wrapText="1"/>
    </xf>
    <xf numFmtId="0" fontId="16" fillId="2" borderId="28" xfId="6" applyFont="1" applyFill="1" applyBorder="1" applyAlignment="1">
      <alignment horizontal="right" vertical="top" wrapText="1"/>
    </xf>
    <xf numFmtId="164" fontId="16" fillId="2" borderId="28" xfId="6" applyNumberFormat="1" applyFont="1" applyFill="1" applyBorder="1" applyAlignment="1">
      <alignment horizontal="center" vertical="top" wrapText="1"/>
    </xf>
    <xf numFmtId="9" fontId="16" fillId="2" borderId="28" xfId="6" quotePrefix="1" applyNumberFormat="1" applyFont="1" applyFill="1" applyBorder="1" applyAlignment="1">
      <alignment horizontal="center" vertical="top" wrapText="1"/>
    </xf>
    <xf numFmtId="9" fontId="16" fillId="2" borderId="28" xfId="6" applyNumberFormat="1" applyFont="1" applyFill="1" applyBorder="1" applyAlignment="1">
      <alignment horizontal="center" vertical="top" wrapText="1"/>
    </xf>
    <xf numFmtId="9" fontId="16" fillId="2" borderId="3" xfId="6" applyNumberFormat="1" applyFont="1" applyFill="1" applyBorder="1" applyAlignment="1">
      <alignment horizontal="center" vertical="top" wrapText="1"/>
    </xf>
    <xf numFmtId="164" fontId="16" fillId="2" borderId="3" xfId="6" applyNumberFormat="1" applyFont="1" applyFill="1" applyBorder="1" applyAlignment="1">
      <alignment horizontal="center" vertical="center" wrapText="1"/>
    </xf>
    <xf numFmtId="9" fontId="16" fillId="2" borderId="3" xfId="6" applyNumberFormat="1" applyFont="1" applyFill="1" applyBorder="1" applyAlignment="1">
      <alignment horizontal="center" vertical="top"/>
    </xf>
    <xf numFmtId="0" fontId="22" fillId="2" borderId="28" xfId="6" applyFont="1" applyFill="1" applyBorder="1" applyAlignment="1">
      <alignment horizontal="justify" vertical="top" wrapText="1"/>
    </xf>
    <xf numFmtId="10" fontId="22" fillId="2" borderId="28" xfId="6" applyNumberFormat="1" applyFont="1" applyFill="1" applyBorder="1" applyAlignment="1">
      <alignment horizontal="center" vertical="top" wrapText="1"/>
    </xf>
    <xf numFmtId="3" fontId="22" fillId="2" borderId="28" xfId="6" applyNumberFormat="1" applyFont="1" applyFill="1" applyBorder="1" applyAlignment="1">
      <alignment horizontal="right" vertical="top"/>
    </xf>
    <xf numFmtId="10" fontId="22" fillId="2" borderId="30" xfId="6" applyNumberFormat="1" applyFont="1" applyFill="1" applyBorder="1" applyAlignment="1">
      <alignment horizontal="center" vertical="top"/>
    </xf>
    <xf numFmtId="0" fontId="16" fillId="0" borderId="0" xfId="6" applyFont="1" applyAlignment="1">
      <alignment vertical="top"/>
    </xf>
    <xf numFmtId="0" fontId="16" fillId="2" borderId="28" xfId="6" applyFont="1" applyFill="1" applyBorder="1" applyAlignment="1">
      <alignment horizontal="left" vertical="top" wrapText="1"/>
    </xf>
    <xf numFmtId="9" fontId="22" fillId="2" borderId="28" xfId="6" applyNumberFormat="1" applyFont="1" applyFill="1" applyBorder="1" applyAlignment="1">
      <alignment horizontal="center" vertical="top" wrapText="1"/>
    </xf>
    <xf numFmtId="0" fontId="17" fillId="0" borderId="10" xfId="6" applyFont="1" applyBorder="1" applyAlignment="1">
      <alignment vertical="center"/>
    </xf>
    <xf numFmtId="0" fontId="16" fillId="2" borderId="10" xfId="6" applyFont="1" applyFill="1" applyBorder="1" applyAlignment="1">
      <alignment vertical="top" wrapText="1"/>
    </xf>
    <xf numFmtId="164" fontId="16" fillId="2" borderId="3" xfId="6" applyNumberFormat="1" applyFont="1" applyFill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center" wrapText="1"/>
    </xf>
    <xf numFmtId="0" fontId="16" fillId="0" borderId="16" xfId="6" applyFont="1" applyBorder="1" applyAlignment="1">
      <alignment horizontal="center" wrapText="1"/>
    </xf>
    <xf numFmtId="0" fontId="16" fillId="0" borderId="5" xfId="6" applyFont="1" applyBorder="1" applyAlignment="1">
      <alignment horizontal="center" wrapText="1"/>
    </xf>
    <xf numFmtId="0" fontId="16" fillId="0" borderId="0" xfId="6" applyFont="1" applyAlignment="1">
      <alignment horizontal="right" vertical="center"/>
    </xf>
    <xf numFmtId="9" fontId="16" fillId="2" borderId="3" xfId="6" applyNumberFormat="1" applyFont="1" applyFill="1" applyBorder="1" applyAlignment="1">
      <alignment horizontal="right" vertical="top" wrapText="1"/>
    </xf>
    <xf numFmtId="9" fontId="16" fillId="2" borderId="28" xfId="6" quotePrefix="1" applyNumberFormat="1" applyFont="1" applyFill="1" applyBorder="1" applyAlignment="1">
      <alignment horizontal="right" vertical="top" wrapText="1"/>
    </xf>
    <xf numFmtId="9" fontId="16" fillId="2" borderId="6" xfId="4" applyFont="1" applyFill="1" applyBorder="1" applyAlignment="1">
      <alignment horizontal="right" vertical="top" wrapText="1"/>
    </xf>
    <xf numFmtId="10" fontId="22" fillId="2" borderId="30" xfId="6" applyNumberFormat="1" applyFont="1" applyFill="1" applyBorder="1" applyAlignment="1">
      <alignment horizontal="right" vertical="top"/>
    </xf>
    <xf numFmtId="0" fontId="17" fillId="0" borderId="0" xfId="6" applyFont="1" applyAlignment="1">
      <alignment horizontal="right" vertical="center"/>
    </xf>
    <xf numFmtId="9" fontId="22" fillId="2" borderId="28" xfId="6" applyNumberFormat="1" applyFont="1" applyFill="1" applyBorder="1" applyAlignment="1">
      <alignment horizontal="right" vertical="top" wrapText="1"/>
    </xf>
    <xf numFmtId="9" fontId="16" fillId="2" borderId="28" xfId="6" applyNumberFormat="1" applyFont="1" applyFill="1" applyBorder="1" applyAlignment="1">
      <alignment horizontal="right" vertical="center" wrapText="1"/>
    </xf>
    <xf numFmtId="9" fontId="16" fillId="2" borderId="3" xfId="6" applyNumberFormat="1" applyFont="1" applyFill="1" applyBorder="1" applyAlignment="1">
      <alignment horizontal="right" vertical="top"/>
    </xf>
    <xf numFmtId="0" fontId="16" fillId="0" borderId="0" xfId="6" applyFont="1" applyAlignment="1">
      <alignment horizontal="center" vertical="center" wrapText="1"/>
    </xf>
    <xf numFmtId="164" fontId="16" fillId="0" borderId="0" xfId="3" applyFont="1" applyFill="1" applyBorder="1" applyAlignment="1">
      <alignment horizontal="center" vertical="center" wrapText="1"/>
    </xf>
    <xf numFmtId="9" fontId="16" fillId="2" borderId="7" xfId="6" applyNumberFormat="1" applyFont="1" applyFill="1" applyBorder="1" applyAlignment="1">
      <alignment horizontal="center" vertical="top" wrapText="1"/>
    </xf>
    <xf numFmtId="1" fontId="16" fillId="0" borderId="10" xfId="6" applyNumberFormat="1" applyFont="1" applyBorder="1" applyAlignment="1">
      <alignment horizontal="left" vertical="top" wrapText="1"/>
    </xf>
    <xf numFmtId="164" fontId="17" fillId="0" borderId="0" xfId="1" applyFont="1" applyFill="1" applyBorder="1" applyAlignment="1">
      <alignment vertical="center"/>
    </xf>
    <xf numFmtId="167" fontId="16" fillId="2" borderId="3" xfId="6" applyNumberFormat="1" applyFont="1" applyFill="1" applyBorder="1" applyAlignment="1">
      <alignment horizontal="center" vertical="top" wrapText="1"/>
    </xf>
    <xf numFmtId="167" fontId="16" fillId="2" borderId="28" xfId="3" applyNumberFormat="1" applyFont="1" applyFill="1" applyBorder="1" applyAlignment="1">
      <alignment horizontal="left" vertical="center" wrapText="1"/>
    </xf>
    <xf numFmtId="167" fontId="16" fillId="2" borderId="28" xfId="3" applyNumberFormat="1" applyFont="1" applyFill="1" applyBorder="1" applyAlignment="1">
      <alignment horizontal="left" vertical="top" wrapText="1"/>
    </xf>
    <xf numFmtId="167" fontId="16" fillId="2" borderId="21" xfId="3" applyNumberFormat="1" applyFont="1" applyFill="1" applyBorder="1" applyAlignment="1">
      <alignment horizontal="left" vertical="top" wrapText="1"/>
    </xf>
    <xf numFmtId="0" fontId="16" fillId="2" borderId="25" xfId="6" applyFont="1" applyFill="1" applyBorder="1" applyAlignment="1">
      <alignment vertical="top" wrapText="1"/>
    </xf>
    <xf numFmtId="167" fontId="16" fillId="2" borderId="7" xfId="3" applyNumberFormat="1" applyFont="1" applyFill="1" applyBorder="1" applyAlignment="1">
      <alignment horizontal="left" vertical="top" wrapText="1"/>
    </xf>
    <xf numFmtId="167" fontId="16" fillId="0" borderId="0" xfId="6" applyNumberFormat="1" applyFont="1" applyAlignment="1">
      <alignment horizontal="left" vertical="center"/>
    </xf>
    <xf numFmtId="167" fontId="16" fillId="2" borderId="3" xfId="6" applyNumberFormat="1" applyFont="1" applyFill="1" applyBorder="1" applyAlignment="1">
      <alignment horizontal="center" vertical="center" wrapText="1"/>
    </xf>
    <xf numFmtId="167" fontId="17" fillId="0" borderId="0" xfId="6" applyNumberFormat="1" applyFont="1" applyAlignment="1">
      <alignment vertical="center"/>
    </xf>
    <xf numFmtId="9" fontId="16" fillId="2" borderId="28" xfId="4" applyFont="1" applyFill="1" applyBorder="1" applyAlignment="1">
      <alignment horizontal="center" vertical="top" wrapText="1"/>
    </xf>
    <xf numFmtId="9" fontId="16" fillId="2" borderId="28" xfId="4" applyFont="1" applyFill="1" applyBorder="1" applyAlignment="1">
      <alignment horizontal="right" vertical="top" wrapText="1"/>
    </xf>
    <xf numFmtId="164" fontId="16" fillId="0" borderId="0" xfId="3" applyFont="1" applyFill="1" applyBorder="1" applyAlignment="1">
      <alignment vertical="top"/>
    </xf>
    <xf numFmtId="164" fontId="17" fillId="0" borderId="0" xfId="6" applyNumberFormat="1" applyFont="1" applyAlignment="1">
      <alignment horizontal="right" vertical="center"/>
    </xf>
    <xf numFmtId="164" fontId="19" fillId="2" borderId="3" xfId="6" applyNumberFormat="1" applyFont="1" applyFill="1" applyBorder="1" applyAlignment="1">
      <alignment horizontal="center" vertical="top" wrapText="1"/>
    </xf>
    <xf numFmtId="43" fontId="17" fillId="0" borderId="0" xfId="7" applyFont="1" applyAlignment="1">
      <alignment vertical="center"/>
    </xf>
    <xf numFmtId="168" fontId="17" fillId="0" borderId="0" xfId="7" applyNumberFormat="1" applyFont="1" applyAlignment="1">
      <alignment vertical="center"/>
    </xf>
    <xf numFmtId="0" fontId="24" fillId="0" borderId="0" xfId="6" applyFont="1" applyAlignment="1">
      <alignment vertical="center"/>
    </xf>
    <xf numFmtId="0" fontId="16" fillId="2" borderId="24" xfId="6" applyFont="1" applyFill="1" applyBorder="1" applyAlignment="1">
      <alignment vertical="top" wrapText="1"/>
    </xf>
    <xf numFmtId="20" fontId="16" fillId="2" borderId="10" xfId="6" applyNumberFormat="1" applyFont="1" applyFill="1" applyBorder="1" applyAlignment="1">
      <alignment horizontal="left" vertical="top" wrapText="1"/>
    </xf>
    <xf numFmtId="0" fontId="17" fillId="3" borderId="6" xfId="6" applyFont="1" applyFill="1" applyBorder="1" applyAlignment="1">
      <alignment horizontal="center" vertical="top"/>
    </xf>
    <xf numFmtId="0" fontId="17" fillId="3" borderId="6" xfId="6" applyFont="1" applyFill="1" applyBorder="1" applyAlignment="1">
      <alignment horizontal="right" vertical="top" wrapText="1"/>
    </xf>
    <xf numFmtId="0" fontId="17" fillId="3" borderId="5" xfId="6" applyFont="1" applyFill="1" applyBorder="1" applyAlignment="1">
      <alignment horizontal="right" vertical="top" wrapText="1"/>
    </xf>
    <xf numFmtId="0" fontId="16" fillId="2" borderId="8" xfId="6" applyFont="1" applyFill="1" applyBorder="1" applyAlignment="1">
      <alignment horizontal="left" vertical="top" wrapText="1"/>
    </xf>
    <xf numFmtId="0" fontId="16" fillId="2" borderId="7" xfId="6" applyFont="1" applyFill="1" applyBorder="1" applyAlignment="1">
      <alignment horizontal="center" vertical="top" wrapText="1"/>
    </xf>
    <xf numFmtId="0" fontId="16" fillId="2" borderId="7" xfId="6" applyFont="1" applyFill="1" applyBorder="1" applyAlignment="1">
      <alignment horizontal="left" vertical="top" wrapText="1"/>
    </xf>
    <xf numFmtId="164" fontId="16" fillId="2" borderId="7" xfId="3" applyFont="1" applyFill="1" applyBorder="1" applyAlignment="1">
      <alignment horizontal="center" vertical="top" wrapText="1"/>
    </xf>
    <xf numFmtId="0" fontId="16" fillId="2" borderId="7" xfId="6" applyFont="1" applyFill="1" applyBorder="1" applyAlignment="1">
      <alignment horizontal="right" vertical="top" wrapText="1"/>
    </xf>
    <xf numFmtId="164" fontId="17" fillId="3" borderId="6" xfId="3" applyFont="1" applyFill="1" applyBorder="1" applyAlignment="1">
      <alignment horizontal="left" vertical="top" wrapText="1"/>
    </xf>
    <xf numFmtId="164" fontId="17" fillId="3" borderId="5" xfId="3" applyFont="1" applyFill="1" applyBorder="1" applyAlignment="1">
      <alignment horizontal="left" vertical="top" wrapText="1"/>
    </xf>
    <xf numFmtId="164" fontId="17" fillId="3" borderId="6" xfId="3" applyFont="1" applyFill="1" applyBorder="1" applyAlignment="1">
      <alignment horizontal="center" vertical="center" wrapText="1"/>
    </xf>
    <xf numFmtId="164" fontId="22" fillId="2" borderId="28" xfId="6" applyNumberFormat="1" applyFont="1" applyFill="1" applyBorder="1" applyAlignment="1">
      <alignment horizontal="right" vertical="top"/>
    </xf>
    <xf numFmtId="9" fontId="16" fillId="2" borderId="7" xfId="6" applyNumberFormat="1" applyFont="1" applyFill="1" applyBorder="1" applyAlignment="1">
      <alignment horizontal="right" vertical="top" wrapText="1"/>
    </xf>
    <xf numFmtId="0" fontId="16" fillId="3" borderId="14" xfId="6" applyFont="1" applyFill="1" applyBorder="1" applyAlignment="1">
      <alignment vertical="center"/>
    </xf>
    <xf numFmtId="0" fontId="16" fillId="3" borderId="6" xfId="6" applyFont="1" applyFill="1" applyBorder="1" applyAlignment="1">
      <alignment horizontal="center" vertical="top" wrapText="1"/>
    </xf>
    <xf numFmtId="164" fontId="16" fillId="3" borderId="6" xfId="3" applyFont="1" applyFill="1" applyBorder="1" applyAlignment="1">
      <alignment horizontal="center" vertical="top" wrapText="1"/>
    </xf>
    <xf numFmtId="164" fontId="17" fillId="3" borderId="3" xfId="3" applyFont="1" applyFill="1" applyBorder="1" applyAlignment="1">
      <alignment horizontal="center" vertical="center" wrapText="1"/>
    </xf>
    <xf numFmtId="164" fontId="16" fillId="3" borderId="5" xfId="3" applyFont="1" applyFill="1" applyBorder="1" applyAlignment="1">
      <alignment horizontal="center" vertical="top" wrapText="1"/>
    </xf>
    <xf numFmtId="164" fontId="17" fillId="3" borderId="6" xfId="6" applyNumberFormat="1" applyFont="1" applyFill="1" applyBorder="1" applyAlignment="1">
      <alignment horizontal="right" vertical="center" wrapText="1"/>
    </xf>
    <xf numFmtId="0" fontId="17" fillId="3" borderId="3" xfId="6" applyFont="1" applyFill="1" applyBorder="1" applyAlignment="1">
      <alignment horizontal="right" vertical="top" wrapText="1"/>
    </xf>
    <xf numFmtId="164" fontId="17" fillId="3" borderId="3" xfId="6" applyNumberFormat="1" applyFont="1" applyFill="1" applyBorder="1" applyAlignment="1">
      <alignment horizontal="right" vertical="center" wrapText="1"/>
    </xf>
    <xf numFmtId="0" fontId="17" fillId="3" borderId="20" xfId="6" applyFont="1" applyFill="1" applyBorder="1" applyAlignment="1">
      <alignment horizontal="right" vertical="top" wrapText="1"/>
    </xf>
    <xf numFmtId="164" fontId="21" fillId="3" borderId="6" xfId="6" applyNumberFormat="1" applyFont="1" applyFill="1" applyBorder="1" applyAlignment="1">
      <alignment horizontal="center" vertical="top" wrapText="1"/>
    </xf>
    <xf numFmtId="164" fontId="17" fillId="3" borderId="5" xfId="3" applyFont="1" applyFill="1" applyBorder="1" applyAlignment="1">
      <alignment horizontal="center" vertical="center" wrapText="1"/>
    </xf>
    <xf numFmtId="0" fontId="17" fillId="3" borderId="5" xfId="6" applyFont="1" applyFill="1" applyBorder="1" applyAlignment="1">
      <alignment horizontal="right" vertical="center" wrapText="1"/>
    </xf>
    <xf numFmtId="0" fontId="17" fillId="3" borderId="6" xfId="6" applyFont="1" applyFill="1" applyBorder="1" applyAlignment="1">
      <alignment horizontal="right" vertical="center" wrapText="1"/>
    </xf>
    <xf numFmtId="0" fontId="21" fillId="3" borderId="5" xfId="6" applyFont="1" applyFill="1" applyBorder="1" applyAlignment="1">
      <alignment horizontal="right" vertical="top" wrapText="1"/>
    </xf>
    <xf numFmtId="0" fontId="21" fillId="3" borderId="6" xfId="6" quotePrefix="1" applyFont="1" applyFill="1" applyBorder="1" applyAlignment="1">
      <alignment horizontal="right" vertical="top" wrapText="1"/>
    </xf>
    <xf numFmtId="164" fontId="21" fillId="3" borderId="5" xfId="6" applyNumberFormat="1" applyFont="1" applyFill="1" applyBorder="1" applyAlignment="1">
      <alignment horizontal="center" vertical="top" wrapText="1"/>
    </xf>
    <xf numFmtId="3" fontId="17" fillId="3" borderId="6" xfId="6" applyNumberFormat="1" applyFont="1" applyFill="1" applyBorder="1" applyAlignment="1">
      <alignment vertical="top"/>
    </xf>
    <xf numFmtId="164" fontId="17" fillId="3" borderId="6" xfId="6" applyNumberFormat="1" applyFont="1" applyFill="1" applyBorder="1" applyAlignment="1">
      <alignment vertical="top"/>
    </xf>
    <xf numFmtId="3" fontId="17" fillId="3" borderId="3" xfId="6" applyNumberFormat="1" applyFont="1" applyFill="1" applyBorder="1" applyAlignment="1">
      <alignment vertical="top"/>
    </xf>
    <xf numFmtId="164" fontId="17" fillId="3" borderId="3" xfId="6" applyNumberFormat="1" applyFont="1" applyFill="1" applyBorder="1" applyAlignment="1">
      <alignment vertical="top"/>
    </xf>
    <xf numFmtId="164" fontId="17" fillId="3" borderId="5" xfId="6" applyNumberFormat="1" applyFont="1" applyFill="1" applyBorder="1" applyAlignment="1">
      <alignment horizontal="right" vertical="top" wrapText="1"/>
    </xf>
    <xf numFmtId="164" fontId="21" fillId="3" borderId="3" xfId="3" applyFont="1" applyFill="1" applyBorder="1" applyAlignment="1">
      <alignment vertical="top"/>
    </xf>
    <xf numFmtId="164" fontId="21" fillId="3" borderId="5" xfId="3" applyFont="1" applyFill="1" applyBorder="1" applyAlignment="1">
      <alignment vertical="top"/>
    </xf>
    <xf numFmtId="0" fontId="16" fillId="3" borderId="14" xfId="6" applyFont="1" applyFill="1" applyBorder="1" applyAlignment="1">
      <alignment horizontal="left" vertical="center"/>
    </xf>
    <xf numFmtId="164" fontId="16" fillId="3" borderId="14" xfId="6" applyNumberFormat="1" applyFont="1" applyFill="1" applyBorder="1" applyAlignment="1">
      <alignment vertical="center"/>
    </xf>
    <xf numFmtId="0" fontId="16" fillId="3" borderId="14" xfId="6" applyFont="1" applyFill="1" applyBorder="1" applyAlignment="1">
      <alignment horizontal="right" vertical="center"/>
    </xf>
    <xf numFmtId="164" fontId="17" fillId="3" borderId="6" xfId="6" applyNumberFormat="1" applyFont="1" applyFill="1" applyBorder="1" applyAlignment="1">
      <alignment horizontal="left" vertical="top" wrapText="1"/>
    </xf>
    <xf numFmtId="0" fontId="17" fillId="3" borderId="6" xfId="6" applyFont="1" applyFill="1" applyBorder="1" applyAlignment="1">
      <alignment horizontal="center" vertical="top" wrapText="1"/>
    </xf>
    <xf numFmtId="9" fontId="17" fillId="3" borderId="5" xfId="6" applyNumberFormat="1" applyFont="1" applyFill="1" applyBorder="1" applyAlignment="1">
      <alignment horizontal="center" vertical="top" wrapText="1"/>
    </xf>
    <xf numFmtId="164" fontId="17" fillId="3" borderId="5" xfId="6" applyNumberFormat="1" applyFont="1" applyFill="1" applyBorder="1" applyAlignment="1">
      <alignment horizontal="left" vertical="top" wrapText="1"/>
    </xf>
    <xf numFmtId="164" fontId="17" fillId="3" borderId="5" xfId="3" applyFont="1" applyFill="1" applyBorder="1" applyAlignment="1">
      <alignment vertical="center" wrapText="1"/>
    </xf>
    <xf numFmtId="167" fontId="16" fillId="0" borderId="23" xfId="6" applyNumberFormat="1" applyFont="1" applyBorder="1" applyAlignment="1">
      <alignment horizontal="center" vertical="center" wrapText="1"/>
    </xf>
    <xf numFmtId="9" fontId="17" fillId="3" borderId="5" xfId="6" applyNumberFormat="1" applyFont="1" applyFill="1" applyBorder="1" applyAlignment="1">
      <alignment horizontal="right" vertical="top" wrapText="1"/>
    </xf>
    <xf numFmtId="0" fontId="17" fillId="3" borderId="3" xfId="6" applyFont="1" applyFill="1" applyBorder="1" applyAlignment="1">
      <alignment horizontal="right" vertical="center" wrapText="1"/>
    </xf>
    <xf numFmtId="0" fontId="16" fillId="3" borderId="33" xfId="6" applyFont="1" applyFill="1" applyBorder="1" applyAlignment="1">
      <alignment vertical="center"/>
    </xf>
    <xf numFmtId="0" fontId="16" fillId="3" borderId="33" xfId="6" applyFont="1" applyFill="1" applyBorder="1" applyAlignment="1">
      <alignment horizontal="left" vertical="center"/>
    </xf>
    <xf numFmtId="164" fontId="16" fillId="3" borderId="33" xfId="6" applyNumberFormat="1" applyFont="1" applyFill="1" applyBorder="1" applyAlignment="1">
      <alignment vertical="center"/>
    </xf>
    <xf numFmtId="0" fontId="16" fillId="3" borderId="33" xfId="6" applyFont="1" applyFill="1" applyBorder="1" applyAlignment="1">
      <alignment horizontal="right" vertical="center"/>
    </xf>
    <xf numFmtId="10" fontId="16" fillId="3" borderId="14" xfId="6" applyNumberFormat="1" applyFont="1" applyFill="1" applyBorder="1" applyAlignment="1">
      <alignment horizontal="right" vertical="center"/>
    </xf>
    <xf numFmtId="10" fontId="16" fillId="3" borderId="14" xfId="6" applyNumberFormat="1" applyFont="1" applyFill="1" applyBorder="1" applyAlignment="1">
      <alignment vertical="center"/>
    </xf>
    <xf numFmtId="0" fontId="16" fillId="3" borderId="3" xfId="6" applyFont="1" applyFill="1" applyBorder="1" applyAlignment="1">
      <alignment horizontal="left" vertical="top" wrapText="1"/>
    </xf>
    <xf numFmtId="0" fontId="16" fillId="2" borderId="20" xfId="6" quotePrefix="1" applyFont="1" applyFill="1" applyBorder="1" applyAlignment="1">
      <alignment horizontal="justify" vertical="top" wrapText="1"/>
    </xf>
    <xf numFmtId="9" fontId="16" fillId="2" borderId="20" xfId="3" applyNumberFormat="1" applyFont="1" applyFill="1" applyBorder="1" applyAlignment="1">
      <alignment horizontal="center" vertical="top"/>
    </xf>
    <xf numFmtId="9" fontId="16" fillId="2" borderId="20" xfId="6" applyNumberFormat="1" applyFont="1" applyFill="1" applyBorder="1" applyAlignment="1">
      <alignment horizontal="center" vertical="top" wrapText="1"/>
    </xf>
    <xf numFmtId="164" fontId="16" fillId="2" borderId="20" xfId="3" applyFont="1" applyFill="1" applyBorder="1" applyAlignment="1">
      <alignment horizontal="center" vertical="top"/>
    </xf>
    <xf numFmtId="9" fontId="16" fillId="2" borderId="20" xfId="3" applyNumberFormat="1" applyFont="1" applyFill="1" applyBorder="1" applyAlignment="1">
      <alignment horizontal="right" vertical="top"/>
    </xf>
    <xf numFmtId="167" fontId="16" fillId="2" borderId="20" xfId="3" applyNumberFormat="1" applyFont="1" applyFill="1" applyBorder="1" applyAlignment="1">
      <alignment horizontal="left" vertical="top" wrapText="1"/>
    </xf>
    <xf numFmtId="164" fontId="16" fillId="2" borderId="28" xfId="6" applyNumberFormat="1" applyFont="1" applyFill="1" applyBorder="1" applyAlignment="1">
      <alignment horizontal="center" vertical="center" wrapText="1"/>
    </xf>
    <xf numFmtId="0" fontId="16" fillId="3" borderId="3" xfId="6" applyFont="1" applyFill="1" applyBorder="1" applyAlignment="1">
      <alignment vertical="top" wrapText="1"/>
    </xf>
    <xf numFmtId="0" fontId="16" fillId="3" borderId="0" xfId="6" applyFont="1" applyFill="1" applyAlignment="1">
      <alignment vertical="center" wrapText="1"/>
    </xf>
    <xf numFmtId="164" fontId="16" fillId="0" borderId="0" xfId="6" applyNumberFormat="1" applyFont="1" applyAlignment="1">
      <alignment vertical="center"/>
    </xf>
    <xf numFmtId="0" fontId="16" fillId="0" borderId="3" xfId="6" applyFont="1" applyBorder="1" applyAlignment="1">
      <alignment vertical="top" wrapText="1"/>
    </xf>
    <xf numFmtId="0" fontId="16" fillId="0" borderId="3" xfId="6" applyFont="1" applyBorder="1" applyAlignment="1">
      <alignment horizontal="center" vertical="top" wrapText="1"/>
    </xf>
    <xf numFmtId="0" fontId="16" fillId="0" borderId="27" xfId="6" applyFont="1" applyBorder="1" applyAlignment="1">
      <alignment horizontal="left" vertical="top"/>
    </xf>
    <xf numFmtId="0" fontId="16" fillId="0" borderId="27" xfId="6" applyFont="1" applyBorder="1" applyAlignment="1">
      <alignment vertical="top" wrapText="1"/>
    </xf>
    <xf numFmtId="0" fontId="16" fillId="0" borderId="4" xfId="6" applyFont="1" applyBorder="1" applyAlignment="1">
      <alignment vertical="top" wrapText="1"/>
    </xf>
    <xf numFmtId="0" fontId="16" fillId="0" borderId="27" xfId="6" applyFont="1" applyBorder="1" applyAlignment="1">
      <alignment vertical="top"/>
    </xf>
    <xf numFmtId="0" fontId="16" fillId="0" borderId="6" xfId="6" applyFont="1" applyBorder="1" applyAlignment="1">
      <alignment horizontal="justify" vertical="top" wrapText="1"/>
    </xf>
    <xf numFmtId="0" fontId="16" fillId="0" borderId="3" xfId="6" applyFont="1" applyBorder="1" applyAlignment="1">
      <alignment horizontal="left" vertical="center" wrapText="1"/>
    </xf>
    <xf numFmtId="0" fontId="16" fillId="0" borderId="5" xfId="6" applyFont="1" applyBorder="1" applyAlignment="1">
      <alignment vertical="top" wrapText="1"/>
    </xf>
    <xf numFmtId="0" fontId="16" fillId="0" borderId="3" xfId="6" applyFont="1" applyBorder="1" applyAlignment="1">
      <alignment vertical="center"/>
    </xf>
    <xf numFmtId="0" fontId="16" fillId="0" borderId="21" xfId="6" applyFont="1" applyBorder="1" applyAlignment="1">
      <alignment horizontal="left" vertical="top" wrapText="1"/>
    </xf>
    <xf numFmtId="0" fontId="22" fillId="0" borderId="3" xfId="6" applyFont="1" applyBorder="1" applyAlignment="1">
      <alignment horizontal="left" vertical="top" wrapText="1"/>
    </xf>
    <xf numFmtId="0" fontId="16" fillId="0" borderId="10" xfId="6" applyFont="1" applyBorder="1" applyAlignment="1">
      <alignment vertical="center"/>
    </xf>
    <xf numFmtId="0" fontId="16" fillId="0" borderId="10" xfId="6" applyFont="1" applyBorder="1" applyAlignment="1">
      <alignment horizontal="left" vertical="top" wrapText="1"/>
    </xf>
    <xf numFmtId="0" fontId="16" fillId="0" borderId="3" xfId="6" applyFont="1" applyBorder="1" applyAlignment="1">
      <alignment horizontal="justify" vertical="top" wrapText="1"/>
    </xf>
    <xf numFmtId="41" fontId="16" fillId="0" borderId="0" xfId="6" applyNumberFormat="1" applyFont="1" applyAlignment="1">
      <alignment vertical="center"/>
    </xf>
    <xf numFmtId="0" fontId="16" fillId="0" borderId="26" xfId="6" applyFont="1" applyBorder="1" applyAlignment="1">
      <alignment vertical="top" wrapText="1"/>
    </xf>
    <xf numFmtId="167" fontId="16" fillId="2" borderId="7" xfId="6" applyNumberFormat="1" applyFont="1" applyFill="1" applyBorder="1" applyAlignment="1">
      <alignment horizontal="center" vertical="top" wrapText="1"/>
    </xf>
    <xf numFmtId="39" fontId="16" fillId="2" borderId="7" xfId="3" applyNumberFormat="1" applyFont="1" applyFill="1" applyBorder="1" applyAlignment="1">
      <alignment horizontal="right" vertical="top" wrapText="1"/>
    </xf>
    <xf numFmtId="164" fontId="16" fillId="2" borderId="6" xfId="6" applyNumberFormat="1" applyFont="1" applyFill="1" applyBorder="1" applyAlignment="1">
      <alignment horizontal="center" vertical="top" wrapText="1"/>
    </xf>
    <xf numFmtId="0" fontId="16" fillId="2" borderId="20" xfId="6" applyFont="1" applyFill="1" applyBorder="1" applyAlignment="1">
      <alignment horizontal="center" vertical="center" wrapText="1"/>
    </xf>
    <xf numFmtId="0" fontId="16" fillId="2" borderId="3" xfId="6" applyFont="1" applyFill="1" applyBorder="1" applyAlignment="1">
      <alignment horizontal="right" vertical="top" wrapText="1"/>
    </xf>
    <xf numFmtId="164" fontId="16" fillId="2" borderId="5" xfId="6" applyNumberFormat="1" applyFont="1" applyFill="1" applyBorder="1" applyAlignment="1">
      <alignment horizontal="center" vertical="center" wrapText="1"/>
    </xf>
    <xf numFmtId="164" fontId="21" fillId="3" borderId="5" xfId="3" applyFont="1" applyFill="1" applyBorder="1" applyAlignment="1">
      <alignment horizontal="center" vertical="top" wrapText="1"/>
    </xf>
    <xf numFmtId="164" fontId="21" fillId="3" borderId="20" xfId="6" applyNumberFormat="1" applyFont="1" applyFill="1" applyBorder="1" applyAlignment="1">
      <alignment horizontal="center" vertical="top" wrapText="1"/>
    </xf>
    <xf numFmtId="9" fontId="17" fillId="3" borderId="5" xfId="6" applyNumberFormat="1" applyFont="1" applyFill="1" applyBorder="1" applyAlignment="1">
      <alignment horizontal="center" vertical="center"/>
    </xf>
    <xf numFmtId="164" fontId="21" fillId="3" borderId="3" xfId="6" applyNumberFormat="1" applyFont="1" applyFill="1" applyBorder="1" applyAlignment="1">
      <alignment horizontal="center" vertical="top" wrapText="1"/>
    </xf>
    <xf numFmtId="164" fontId="17" fillId="3" borderId="6" xfId="3" applyFont="1" applyFill="1" applyBorder="1" applyAlignment="1">
      <alignment horizontal="left" vertical="center" wrapText="1"/>
    </xf>
    <xf numFmtId="2" fontId="17" fillId="3" borderId="3" xfId="6" applyNumberFormat="1" applyFont="1" applyFill="1" applyBorder="1" applyAlignment="1">
      <alignment horizontal="right" vertical="top" wrapText="1"/>
    </xf>
    <xf numFmtId="167" fontId="17" fillId="3" borderId="3" xfId="6" applyNumberFormat="1" applyFont="1" applyFill="1" applyBorder="1" applyAlignment="1">
      <alignment horizontal="center" vertical="top" wrapText="1"/>
    </xf>
    <xf numFmtId="0" fontId="0" fillId="3" borderId="0" xfId="0" applyFill="1"/>
    <xf numFmtId="164" fontId="17" fillId="3" borderId="5" xfId="3" applyFont="1" applyFill="1" applyBorder="1" applyAlignment="1">
      <alignment horizontal="left" vertical="center" wrapText="1"/>
    </xf>
    <xf numFmtId="164" fontId="17" fillId="3" borderId="3" xfId="3" applyFont="1" applyFill="1" applyBorder="1" applyAlignment="1">
      <alignment horizontal="left" vertical="center" wrapText="1"/>
    </xf>
    <xf numFmtId="2" fontId="17" fillId="3" borderId="5" xfId="6" applyNumberFormat="1" applyFont="1" applyFill="1" applyBorder="1" applyAlignment="1">
      <alignment horizontal="right" vertical="top" wrapText="1"/>
    </xf>
    <xf numFmtId="167" fontId="17" fillId="3" borderId="5" xfId="6" applyNumberFormat="1" applyFont="1" applyFill="1" applyBorder="1" applyAlignment="1">
      <alignment horizontal="center" vertical="top" wrapText="1"/>
    </xf>
    <xf numFmtId="164" fontId="17" fillId="3" borderId="3" xfId="3" applyFont="1" applyFill="1" applyBorder="1" applyAlignment="1">
      <alignment horizontal="center" vertical="center"/>
    </xf>
    <xf numFmtId="164" fontId="17" fillId="3" borderId="3" xfId="3" applyFont="1" applyFill="1" applyBorder="1" applyAlignment="1">
      <alignment horizontal="left" vertical="top" wrapText="1"/>
    </xf>
    <xf numFmtId="164" fontId="17" fillId="3" borderId="3" xfId="3" applyFont="1" applyFill="1" applyBorder="1" applyAlignment="1">
      <alignment horizontal="right" vertical="top"/>
    </xf>
    <xf numFmtId="164" fontId="17" fillId="3" borderId="6" xfId="3" applyFont="1" applyFill="1" applyBorder="1" applyAlignment="1">
      <alignment horizontal="right" vertical="top"/>
    </xf>
    <xf numFmtId="0" fontId="16" fillId="3" borderId="3" xfId="6" applyFont="1" applyFill="1" applyBorder="1" applyAlignment="1">
      <alignment horizontal="left" vertical="center" wrapText="1"/>
    </xf>
    <xf numFmtId="9" fontId="16" fillId="3" borderId="11" xfId="6" applyNumberFormat="1" applyFont="1" applyFill="1" applyBorder="1" applyAlignment="1">
      <alignment horizontal="center" vertical="center"/>
    </xf>
    <xf numFmtId="0" fontId="17" fillId="3" borderId="13" xfId="6" applyFont="1" applyFill="1" applyBorder="1" applyAlignment="1">
      <alignment horizontal="center" vertical="top" wrapText="1"/>
    </xf>
    <xf numFmtId="37" fontId="17" fillId="3" borderId="6" xfId="6" applyNumberFormat="1" applyFont="1" applyFill="1" applyBorder="1" applyAlignment="1">
      <alignment horizontal="center" vertical="top" wrapText="1"/>
    </xf>
    <xf numFmtId="165" fontId="17" fillId="3" borderId="3" xfId="6" applyNumberFormat="1" applyFont="1" applyFill="1" applyBorder="1" applyAlignment="1">
      <alignment horizontal="right" vertical="top" wrapText="1"/>
    </xf>
    <xf numFmtId="167" fontId="17" fillId="3" borderId="3" xfId="6" applyNumberFormat="1" applyFont="1" applyFill="1" applyBorder="1" applyAlignment="1">
      <alignment horizontal="right" vertical="top" wrapText="1"/>
    </xf>
    <xf numFmtId="164" fontId="16" fillId="3" borderId="0" xfId="3" applyFont="1" applyFill="1" applyBorder="1" applyAlignment="1">
      <alignment vertical="center" wrapText="1"/>
    </xf>
    <xf numFmtId="0" fontId="17" fillId="3" borderId="5" xfId="6" applyFont="1" applyFill="1" applyBorder="1" applyAlignment="1">
      <alignment horizontal="center" vertical="top" wrapText="1"/>
    </xf>
    <xf numFmtId="164" fontId="16" fillId="3" borderId="5" xfId="6" applyNumberFormat="1" applyFont="1" applyFill="1" applyBorder="1" applyAlignment="1">
      <alignment horizontal="left" vertical="top" wrapText="1"/>
    </xf>
    <xf numFmtId="164" fontId="17" fillId="3" borderId="5" xfId="6" applyNumberFormat="1" applyFont="1" applyFill="1" applyBorder="1" applyAlignment="1">
      <alignment horizontal="right" vertical="center" wrapText="1"/>
    </xf>
    <xf numFmtId="165" fontId="17" fillId="3" borderId="5" xfId="6" applyNumberFormat="1" applyFont="1" applyFill="1" applyBorder="1" applyAlignment="1">
      <alignment horizontal="right" vertical="top" wrapText="1"/>
    </xf>
    <xf numFmtId="167" fontId="17" fillId="3" borderId="5" xfId="6" applyNumberFormat="1" applyFont="1" applyFill="1" applyBorder="1" applyAlignment="1">
      <alignment horizontal="right" vertical="top" wrapText="1"/>
    </xf>
    <xf numFmtId="0" fontId="17" fillId="3" borderId="3" xfId="6" applyFont="1" applyFill="1" applyBorder="1" applyAlignment="1">
      <alignment horizontal="center" vertical="top" wrapText="1"/>
    </xf>
    <xf numFmtId="9" fontId="17" fillId="3" borderId="3" xfId="6" applyNumberFormat="1" applyFont="1" applyFill="1" applyBorder="1" applyAlignment="1">
      <alignment horizontal="center" vertical="center"/>
    </xf>
    <xf numFmtId="164" fontId="17" fillId="3" borderId="3" xfId="6" applyNumberFormat="1" applyFont="1" applyFill="1" applyBorder="1" applyAlignment="1">
      <alignment horizontal="left" vertical="top" wrapText="1"/>
    </xf>
    <xf numFmtId="9" fontId="17" fillId="3" borderId="3" xfId="6" applyNumberFormat="1" applyFont="1" applyFill="1" applyBorder="1" applyAlignment="1">
      <alignment horizontal="center" vertical="top" wrapText="1"/>
    </xf>
    <xf numFmtId="164" fontId="16" fillId="3" borderId="0" xfId="6" applyNumberFormat="1" applyFont="1" applyFill="1" applyAlignment="1">
      <alignment vertical="center" wrapText="1"/>
    </xf>
    <xf numFmtId="164" fontId="17" fillId="3" borderId="3" xfId="3" applyFont="1" applyFill="1" applyBorder="1" applyAlignment="1">
      <alignment horizontal="center" vertical="top" wrapText="1"/>
    </xf>
    <xf numFmtId="164" fontId="17" fillId="3" borderId="6" xfId="6" applyNumberFormat="1" applyFont="1" applyFill="1" applyBorder="1" applyAlignment="1">
      <alignment vertical="top" wrapText="1"/>
    </xf>
    <xf numFmtId="164" fontId="17" fillId="3" borderId="5" xfId="6" applyNumberFormat="1" applyFont="1" applyFill="1" applyBorder="1" applyAlignment="1">
      <alignment vertical="top" wrapText="1"/>
    </xf>
    <xf numFmtId="0" fontId="17" fillId="3" borderId="3" xfId="6" applyFont="1" applyFill="1" applyBorder="1" applyAlignment="1">
      <alignment horizontal="left" vertical="center" wrapText="1"/>
    </xf>
    <xf numFmtId="164" fontId="16" fillId="3" borderId="3" xfId="3" applyFont="1" applyFill="1" applyBorder="1" applyAlignment="1">
      <alignment horizontal="center" vertical="top" wrapText="1"/>
    </xf>
    <xf numFmtId="167" fontId="17" fillId="3" borderId="6" xfId="3" applyNumberFormat="1" applyFont="1" applyFill="1" applyBorder="1" applyAlignment="1">
      <alignment horizontal="left" vertical="center" wrapText="1"/>
    </xf>
    <xf numFmtId="164" fontId="17" fillId="3" borderId="0" xfId="6" applyNumberFormat="1" applyFont="1" applyFill="1" applyAlignment="1">
      <alignment vertical="center" wrapText="1"/>
    </xf>
    <xf numFmtId="164" fontId="17" fillId="3" borderId="0" xfId="3" applyFont="1" applyFill="1" applyBorder="1" applyAlignment="1">
      <alignment vertical="center" wrapText="1"/>
    </xf>
    <xf numFmtId="0" fontId="17" fillId="3" borderId="0" xfId="6" applyFont="1" applyFill="1" applyAlignment="1">
      <alignment vertical="center" wrapText="1"/>
    </xf>
    <xf numFmtId="0" fontId="16" fillId="3" borderId="5" xfId="6" applyFont="1" applyFill="1" applyBorder="1" applyAlignment="1">
      <alignment horizontal="right" vertical="top" wrapText="1"/>
    </xf>
    <xf numFmtId="167" fontId="17" fillId="3" borderId="5" xfId="3" applyNumberFormat="1" applyFont="1" applyFill="1" applyBorder="1" applyAlignment="1">
      <alignment horizontal="left" vertical="center" wrapText="1"/>
    </xf>
    <xf numFmtId="2" fontId="17" fillId="3" borderId="3" xfId="6" applyNumberFormat="1" applyFont="1" applyFill="1" applyBorder="1" applyAlignment="1">
      <alignment vertical="top" wrapText="1"/>
    </xf>
    <xf numFmtId="167" fontId="17" fillId="3" borderId="3" xfId="3" applyNumberFormat="1" applyFont="1" applyFill="1" applyBorder="1" applyAlignment="1">
      <alignment horizontal="left" vertical="center" wrapText="1"/>
    </xf>
    <xf numFmtId="0" fontId="17" fillId="3" borderId="3" xfId="6" applyFont="1" applyFill="1" applyBorder="1" applyAlignment="1">
      <alignment vertical="top" wrapText="1"/>
    </xf>
    <xf numFmtId="4" fontId="17" fillId="3" borderId="3" xfId="6" applyNumberFormat="1" applyFont="1" applyFill="1" applyBorder="1" applyAlignment="1">
      <alignment vertical="top" wrapText="1"/>
    </xf>
    <xf numFmtId="164" fontId="17" fillId="3" borderId="3" xfId="6" applyNumberFormat="1" applyFont="1" applyFill="1" applyBorder="1" applyAlignment="1">
      <alignment horizontal="center" vertical="center" wrapText="1"/>
    </xf>
    <xf numFmtId="164" fontId="16" fillId="3" borderId="3" xfId="3" applyFont="1" applyFill="1" applyBorder="1" applyAlignment="1">
      <alignment horizontal="left" vertical="top" wrapText="1"/>
    </xf>
    <xf numFmtId="0" fontId="16" fillId="3" borderId="6" xfId="6" applyFont="1" applyFill="1" applyBorder="1" applyAlignment="1">
      <alignment horizontal="right" vertical="top" wrapText="1"/>
    </xf>
    <xf numFmtId="0" fontId="17" fillId="3" borderId="16" xfId="6" applyFont="1" applyFill="1" applyBorder="1" applyAlignment="1">
      <alignment horizontal="center" vertical="top" wrapText="1"/>
    </xf>
    <xf numFmtId="0" fontId="17" fillId="3" borderId="16" xfId="6" applyFont="1" applyFill="1" applyBorder="1" applyAlignment="1">
      <alignment horizontal="right" vertical="top" wrapText="1"/>
    </xf>
    <xf numFmtId="167" fontId="17" fillId="3" borderId="6" xfId="3" applyNumberFormat="1" applyFont="1" applyFill="1" applyBorder="1" applyAlignment="1">
      <alignment horizontal="left" vertical="top" wrapText="1"/>
    </xf>
    <xf numFmtId="167" fontId="17" fillId="3" borderId="5" xfId="3" applyNumberFormat="1" applyFont="1" applyFill="1" applyBorder="1" applyAlignment="1">
      <alignment horizontal="left" vertical="top" wrapText="1"/>
    </xf>
    <xf numFmtId="0" fontId="16" fillId="3" borderId="0" xfId="6" applyFont="1" applyFill="1" applyAlignment="1">
      <alignment vertical="center"/>
    </xf>
    <xf numFmtId="167" fontId="17" fillId="3" borderId="3" xfId="3" applyNumberFormat="1" applyFont="1" applyFill="1" applyBorder="1" applyAlignment="1">
      <alignment horizontal="left" vertical="top" wrapText="1"/>
    </xf>
    <xf numFmtId="0" fontId="17" fillId="3" borderId="10" xfId="6" applyFont="1" applyFill="1" applyBorder="1" applyAlignment="1">
      <alignment horizontal="center" vertical="top" wrapText="1"/>
    </xf>
    <xf numFmtId="0" fontId="17" fillId="3" borderId="10" xfId="6" applyFont="1" applyFill="1" applyBorder="1" applyAlignment="1">
      <alignment horizontal="right" vertical="top" wrapText="1"/>
    </xf>
    <xf numFmtId="0" fontId="17" fillId="3" borderId="11" xfId="6" applyFont="1" applyFill="1" applyBorder="1" applyAlignment="1">
      <alignment horizontal="right" vertical="top" wrapText="1"/>
    </xf>
    <xf numFmtId="0" fontId="17" fillId="3" borderId="3" xfId="6" applyFont="1" applyFill="1" applyBorder="1" applyAlignment="1">
      <alignment vertical="center"/>
    </xf>
    <xf numFmtId="164" fontId="17" fillId="3" borderId="6" xfId="3" applyFont="1" applyFill="1" applyBorder="1" applyAlignment="1">
      <alignment vertical="center" wrapText="1"/>
    </xf>
    <xf numFmtId="164" fontId="17" fillId="3" borderId="6" xfId="3" applyFont="1" applyFill="1" applyBorder="1" applyAlignment="1">
      <alignment horizontal="right" vertical="top" wrapText="1"/>
    </xf>
    <xf numFmtId="167" fontId="16" fillId="3" borderId="3" xfId="6" applyNumberFormat="1" applyFont="1" applyFill="1" applyBorder="1" applyAlignment="1">
      <alignment horizontal="right" vertical="top" wrapText="1"/>
    </xf>
    <xf numFmtId="0" fontId="17" fillId="3" borderId="0" xfId="6" applyFont="1" applyFill="1" applyAlignment="1">
      <alignment vertical="center"/>
    </xf>
    <xf numFmtId="164" fontId="17" fillId="3" borderId="0" xfId="3" applyFont="1" applyFill="1" applyBorder="1" applyAlignment="1">
      <alignment vertical="center"/>
    </xf>
    <xf numFmtId="164" fontId="17" fillId="3" borderId="5" xfId="3" applyFont="1" applyFill="1" applyBorder="1" applyAlignment="1">
      <alignment horizontal="right" vertical="top" wrapText="1"/>
    </xf>
    <xf numFmtId="167" fontId="16" fillId="3" borderId="5" xfId="6" applyNumberFormat="1" applyFont="1" applyFill="1" applyBorder="1" applyAlignment="1">
      <alignment horizontal="right" vertical="top" wrapText="1"/>
    </xf>
    <xf numFmtId="164" fontId="17" fillId="3" borderId="3" xfId="3" applyFont="1" applyFill="1" applyBorder="1" applyAlignment="1">
      <alignment vertical="center" wrapText="1"/>
    </xf>
    <xf numFmtId="164" fontId="17" fillId="3" borderId="3" xfId="3" applyFont="1" applyFill="1" applyBorder="1" applyAlignment="1">
      <alignment horizontal="right" vertical="top" wrapText="1"/>
    </xf>
    <xf numFmtId="164" fontId="16" fillId="3" borderId="0" xfId="6" applyNumberFormat="1" applyFont="1" applyFill="1" applyAlignment="1">
      <alignment vertical="center"/>
    </xf>
    <xf numFmtId="164" fontId="16" fillId="3" borderId="0" xfId="3" applyFont="1" applyFill="1" applyBorder="1" applyAlignment="1">
      <alignment vertical="center"/>
    </xf>
    <xf numFmtId="165" fontId="17" fillId="3" borderId="3" xfId="6" applyNumberFormat="1" applyFont="1" applyFill="1" applyBorder="1" applyAlignment="1">
      <alignment horizontal="right" vertical="center" wrapText="1"/>
    </xf>
    <xf numFmtId="165" fontId="17" fillId="3" borderId="5" xfId="6" applyNumberFormat="1" applyFont="1" applyFill="1" applyBorder="1" applyAlignment="1">
      <alignment horizontal="right" vertical="center" wrapText="1"/>
    </xf>
    <xf numFmtId="165" fontId="17" fillId="3" borderId="20" xfId="6" applyNumberFormat="1" applyFont="1" applyFill="1" applyBorder="1" applyAlignment="1">
      <alignment horizontal="right" vertical="center" wrapText="1"/>
    </xf>
    <xf numFmtId="167" fontId="17" fillId="3" borderId="20" xfId="6" applyNumberFormat="1" applyFont="1" applyFill="1" applyBorder="1" applyAlignment="1">
      <alignment horizontal="right" vertical="top" wrapText="1"/>
    </xf>
    <xf numFmtId="0" fontId="17" fillId="3" borderId="4" xfId="6" applyFont="1" applyFill="1" applyBorder="1" applyAlignment="1">
      <alignment horizontal="left" vertical="top" wrapText="1"/>
    </xf>
    <xf numFmtId="164" fontId="17" fillId="3" borderId="3" xfId="4" applyNumberFormat="1" applyFont="1" applyFill="1" applyBorder="1" applyAlignment="1">
      <alignment horizontal="right" vertical="top" wrapText="1"/>
    </xf>
    <xf numFmtId="2" fontId="17" fillId="3" borderId="3" xfId="3" applyNumberFormat="1" applyFont="1" applyFill="1" applyBorder="1" applyAlignment="1">
      <alignment horizontal="right" vertical="top" wrapText="1"/>
    </xf>
    <xf numFmtId="167" fontId="16" fillId="3" borderId="3" xfId="3" applyNumberFormat="1" applyFont="1" applyFill="1" applyBorder="1" applyAlignment="1">
      <alignment horizontal="left" vertical="top" wrapText="1"/>
    </xf>
    <xf numFmtId="0" fontId="17" fillId="3" borderId="0" xfId="6" applyFont="1" applyFill="1" applyAlignment="1">
      <alignment vertical="top"/>
    </xf>
    <xf numFmtId="164" fontId="17" fillId="3" borderId="0" xfId="3" applyFont="1" applyFill="1" applyBorder="1" applyAlignment="1">
      <alignment vertical="top"/>
    </xf>
    <xf numFmtId="164" fontId="17" fillId="3" borderId="5" xfId="4" applyNumberFormat="1" applyFont="1" applyFill="1" applyBorder="1" applyAlignment="1">
      <alignment horizontal="right" vertical="top" wrapText="1"/>
    </xf>
    <xf numFmtId="2" fontId="17" fillId="3" borderId="5" xfId="3" applyNumberFormat="1" applyFont="1" applyFill="1" applyBorder="1" applyAlignment="1">
      <alignment horizontal="right" vertical="top" wrapText="1"/>
    </xf>
    <xf numFmtId="167" fontId="16" fillId="3" borderId="5" xfId="3" applyNumberFormat="1" applyFont="1" applyFill="1" applyBorder="1" applyAlignment="1">
      <alignment horizontal="left" vertical="top" wrapText="1"/>
    </xf>
    <xf numFmtId="0" fontId="16" fillId="3" borderId="4" xfId="6" applyFont="1" applyFill="1" applyBorder="1" applyAlignment="1">
      <alignment horizontal="left" vertical="top" wrapText="1"/>
    </xf>
    <xf numFmtId="167" fontId="17" fillId="3" borderId="5" xfId="6" applyNumberFormat="1" applyFont="1" applyFill="1" applyBorder="1" applyAlignment="1">
      <alignment horizontal="left" vertical="top" wrapText="1"/>
    </xf>
    <xf numFmtId="164" fontId="16" fillId="3" borderId="3" xfId="6" applyNumberFormat="1" applyFont="1" applyFill="1" applyBorder="1" applyAlignment="1">
      <alignment horizontal="right" vertical="center" wrapText="1"/>
    </xf>
    <xf numFmtId="167" fontId="17" fillId="3" borderId="3" xfId="6" applyNumberFormat="1" applyFont="1" applyFill="1" applyBorder="1" applyAlignment="1">
      <alignment horizontal="left" vertical="top" wrapText="1"/>
    </xf>
    <xf numFmtId="164" fontId="16" fillId="3" borderId="3" xfId="3" applyFont="1" applyFill="1" applyBorder="1" applyAlignment="1">
      <alignment horizontal="right" vertical="center" wrapText="1"/>
    </xf>
    <xf numFmtId="164" fontId="16" fillId="3" borderId="3" xfId="3" applyFont="1" applyFill="1" applyBorder="1" applyAlignment="1">
      <alignment horizontal="center" vertical="center" wrapText="1"/>
    </xf>
    <xf numFmtId="0" fontId="16" fillId="3" borderId="5" xfId="6" applyFont="1" applyFill="1" applyBorder="1" applyAlignment="1">
      <alignment horizontal="right" vertical="center" wrapText="1"/>
    </xf>
    <xf numFmtId="164" fontId="16" fillId="3" borderId="5" xfId="3" applyFont="1" applyFill="1" applyBorder="1" applyAlignment="1">
      <alignment horizontal="center" vertical="center" wrapText="1"/>
    </xf>
    <xf numFmtId="164" fontId="17" fillId="3" borderId="6" xfId="3" quotePrefix="1" applyFont="1" applyFill="1" applyBorder="1" applyAlignment="1">
      <alignment horizontal="center" vertical="center" wrapText="1"/>
    </xf>
    <xf numFmtId="164" fontId="17" fillId="3" borderId="6" xfId="3" quotePrefix="1" applyFont="1" applyFill="1" applyBorder="1" applyAlignment="1">
      <alignment horizontal="right" vertical="center" wrapText="1"/>
    </xf>
    <xf numFmtId="0" fontId="17" fillId="3" borderId="3" xfId="6" applyFont="1" applyFill="1" applyBorder="1" applyAlignment="1">
      <alignment vertical="center" wrapText="1"/>
    </xf>
    <xf numFmtId="164" fontId="17" fillId="3" borderId="20" xfId="6" applyNumberFormat="1" applyFont="1" applyFill="1" applyBorder="1" applyAlignment="1">
      <alignment horizontal="right" vertical="center" wrapText="1"/>
    </xf>
    <xf numFmtId="167" fontId="17" fillId="3" borderId="20" xfId="3" applyNumberFormat="1" applyFont="1" applyFill="1" applyBorder="1" applyAlignment="1">
      <alignment horizontal="left" vertical="top" wrapText="1"/>
    </xf>
    <xf numFmtId="165" fontId="17" fillId="3" borderId="6" xfId="3" applyNumberFormat="1" applyFont="1" applyFill="1" applyBorder="1" applyAlignment="1">
      <alignment horizontal="left" vertical="top" wrapText="1"/>
    </xf>
    <xf numFmtId="167" fontId="17" fillId="3" borderId="3" xfId="3" applyNumberFormat="1" applyFont="1" applyFill="1" applyBorder="1" applyAlignment="1">
      <alignment horizontal="center" vertical="top" wrapText="1"/>
    </xf>
    <xf numFmtId="0" fontId="17" fillId="3" borderId="10" xfId="6" applyFont="1" applyFill="1" applyBorder="1" applyAlignment="1">
      <alignment vertical="center"/>
    </xf>
    <xf numFmtId="0" fontId="17" fillId="3" borderId="3" xfId="3" applyNumberFormat="1" applyFont="1" applyFill="1" applyBorder="1" applyAlignment="1">
      <alignment horizontal="right" vertical="top" wrapText="1"/>
    </xf>
    <xf numFmtId="165" fontId="17" fillId="3" borderId="3" xfId="3" applyNumberFormat="1" applyFont="1" applyFill="1" applyBorder="1" applyAlignment="1">
      <alignment horizontal="left" vertical="top" wrapText="1"/>
    </xf>
    <xf numFmtId="0" fontId="17" fillId="3" borderId="3" xfId="3" applyNumberFormat="1" applyFont="1" applyFill="1" applyBorder="1" applyAlignment="1">
      <alignment horizontal="left" vertical="top" wrapText="1"/>
    </xf>
    <xf numFmtId="0" fontId="17" fillId="3" borderId="6" xfId="3" applyNumberFormat="1" applyFont="1" applyFill="1" applyBorder="1" applyAlignment="1">
      <alignment horizontal="right" vertical="top" wrapText="1"/>
    </xf>
    <xf numFmtId="2" fontId="17" fillId="3" borderId="6" xfId="3" applyNumberFormat="1" applyFont="1" applyFill="1" applyBorder="1" applyAlignment="1">
      <alignment horizontal="right" vertical="top" wrapText="1"/>
    </xf>
    <xf numFmtId="0" fontId="16" fillId="3" borderId="10" xfId="6" applyFont="1" applyFill="1" applyBorder="1" applyAlignment="1">
      <alignment vertical="center"/>
    </xf>
    <xf numFmtId="167" fontId="16" fillId="3" borderId="6" xfId="3" applyNumberFormat="1" applyFont="1" applyFill="1" applyBorder="1" applyAlignment="1">
      <alignment horizontal="left" vertical="top" wrapText="1"/>
    </xf>
    <xf numFmtId="0" fontId="16" fillId="3" borderId="5" xfId="6" applyFont="1" applyFill="1" applyBorder="1" applyAlignment="1">
      <alignment horizontal="center" vertical="top" wrapText="1"/>
    </xf>
    <xf numFmtId="164" fontId="17" fillId="3" borderId="6" xfId="3" applyFont="1" applyFill="1" applyBorder="1" applyAlignment="1">
      <alignment vertical="top"/>
    </xf>
    <xf numFmtId="164" fontId="17" fillId="3" borderId="5" xfId="3" applyFont="1" applyFill="1" applyBorder="1" applyAlignment="1">
      <alignment vertical="top"/>
    </xf>
    <xf numFmtId="0" fontId="21" fillId="3" borderId="5" xfId="6" quotePrefix="1" applyFont="1" applyFill="1" applyBorder="1" applyAlignment="1">
      <alignment horizontal="right" vertical="top" wrapText="1"/>
    </xf>
    <xf numFmtId="165" fontId="21" fillId="3" borderId="3" xfId="6" quotePrefix="1" applyNumberFormat="1" applyFont="1" applyFill="1" applyBorder="1" applyAlignment="1">
      <alignment horizontal="right" vertical="top" wrapText="1"/>
    </xf>
    <xf numFmtId="0" fontId="17" fillId="3" borderId="6" xfId="6" quotePrefix="1" applyFont="1" applyFill="1" applyBorder="1" applyAlignment="1">
      <alignment horizontal="center" vertical="top" wrapText="1"/>
    </xf>
    <xf numFmtId="0" fontId="17" fillId="3" borderId="6" xfId="6" quotePrefix="1" applyFont="1" applyFill="1" applyBorder="1" applyAlignment="1">
      <alignment horizontal="right" vertical="top" wrapText="1"/>
    </xf>
    <xf numFmtId="0" fontId="21" fillId="3" borderId="3" xfId="6" quotePrefix="1" applyFont="1" applyFill="1" applyBorder="1" applyAlignment="1">
      <alignment horizontal="right" vertical="top" wrapText="1"/>
    </xf>
    <xf numFmtId="164" fontId="17" fillId="3" borderId="20" xfId="3" applyFont="1" applyFill="1" applyBorder="1" applyAlignment="1">
      <alignment horizontal="center" vertical="top"/>
    </xf>
    <xf numFmtId="0" fontId="21" fillId="3" borderId="20" xfId="6" quotePrefix="1" applyFont="1" applyFill="1" applyBorder="1" applyAlignment="1">
      <alignment horizontal="right" vertical="top" wrapText="1"/>
    </xf>
    <xf numFmtId="0" fontId="16" fillId="3" borderId="3" xfId="6" applyFont="1" applyFill="1" applyBorder="1" applyAlignment="1">
      <alignment horizontal="center" vertical="top" wrapText="1"/>
    </xf>
    <xf numFmtId="3" fontId="17" fillId="3" borderId="6" xfId="6" applyNumberFormat="1" applyFont="1" applyFill="1" applyBorder="1" applyAlignment="1">
      <alignment horizontal="center" vertical="top"/>
    </xf>
    <xf numFmtId="0" fontId="17" fillId="3" borderId="5" xfId="6" applyFont="1" applyFill="1" applyBorder="1" applyAlignment="1">
      <alignment horizontal="center" vertical="top"/>
    </xf>
    <xf numFmtId="164" fontId="17" fillId="3" borderId="5" xfId="6" applyNumberFormat="1" applyFont="1" applyFill="1" applyBorder="1" applyAlignment="1">
      <alignment vertical="top"/>
    </xf>
    <xf numFmtId="169" fontId="17" fillId="3" borderId="6" xfId="6" applyNumberFormat="1" applyFont="1" applyFill="1" applyBorder="1" applyAlignment="1">
      <alignment horizontal="center" vertical="top" wrapText="1"/>
    </xf>
    <xf numFmtId="169" fontId="17" fillId="3" borderId="6" xfId="6" applyNumberFormat="1" applyFont="1" applyFill="1" applyBorder="1" applyAlignment="1">
      <alignment vertical="top"/>
    </xf>
    <xf numFmtId="169" fontId="17" fillId="3" borderId="5" xfId="6" applyNumberFormat="1" applyFont="1" applyFill="1" applyBorder="1" applyAlignment="1">
      <alignment horizontal="center" vertical="top" wrapText="1"/>
    </xf>
    <xf numFmtId="169" fontId="17" fillId="3" borderId="5" xfId="6" applyNumberFormat="1" applyFont="1" applyFill="1" applyBorder="1" applyAlignment="1">
      <alignment vertical="top"/>
    </xf>
    <xf numFmtId="164" fontId="17" fillId="3" borderId="20" xfId="6" applyNumberFormat="1" applyFont="1" applyFill="1" applyBorder="1" applyAlignment="1">
      <alignment horizontal="right" vertical="top" wrapText="1"/>
    </xf>
    <xf numFmtId="164" fontId="17" fillId="3" borderId="20" xfId="6" applyNumberFormat="1" applyFont="1" applyFill="1" applyBorder="1" applyAlignment="1">
      <alignment vertical="top"/>
    </xf>
    <xf numFmtId="0" fontId="17" fillId="3" borderId="4" xfId="6" applyFont="1" applyFill="1" applyBorder="1" applyAlignment="1">
      <alignment horizontal="center" vertical="center" wrapText="1"/>
    </xf>
    <xf numFmtId="41" fontId="17" fillId="3" borderId="6" xfId="6" applyNumberFormat="1" applyFont="1" applyFill="1" applyBorder="1" applyAlignment="1">
      <alignment horizontal="center" vertical="top" wrapText="1"/>
    </xf>
    <xf numFmtId="41" fontId="17" fillId="3" borderId="13" xfId="6" applyNumberFormat="1" applyFont="1" applyFill="1" applyBorder="1" applyAlignment="1">
      <alignment vertical="center"/>
    </xf>
    <xf numFmtId="164" fontId="17" fillId="3" borderId="10" xfId="3" applyFont="1" applyFill="1" applyBorder="1" applyAlignment="1">
      <alignment horizontal="center" vertical="top" wrapText="1"/>
    </xf>
    <xf numFmtId="0" fontId="16" fillId="3" borderId="27" xfId="6" applyFont="1" applyFill="1" applyBorder="1" applyAlignment="1">
      <alignment horizontal="left" vertical="top"/>
    </xf>
    <xf numFmtId="0" fontId="17" fillId="3" borderId="6" xfId="4" applyNumberFormat="1" applyFont="1" applyFill="1" applyBorder="1" applyAlignment="1">
      <alignment horizontal="center" vertical="top" wrapText="1"/>
    </xf>
    <xf numFmtId="0" fontId="17" fillId="3" borderId="6" xfId="4" applyNumberFormat="1" applyFont="1" applyFill="1" applyBorder="1" applyAlignment="1">
      <alignment horizontal="right" vertical="top" wrapText="1"/>
    </xf>
    <xf numFmtId="164" fontId="16" fillId="3" borderId="3" xfId="6" applyNumberFormat="1" applyFont="1" applyFill="1" applyBorder="1" applyAlignment="1">
      <alignment vertical="top"/>
    </xf>
    <xf numFmtId="9" fontId="17" fillId="3" borderId="3" xfId="4" applyFont="1" applyFill="1" applyBorder="1" applyAlignment="1">
      <alignment horizontal="center" vertical="top" wrapText="1"/>
    </xf>
    <xf numFmtId="164" fontId="17" fillId="3" borderId="5" xfId="6" applyNumberFormat="1" applyFont="1" applyFill="1" applyBorder="1" applyAlignment="1">
      <alignment horizontal="right" vertical="top"/>
    </xf>
    <xf numFmtId="164" fontId="17" fillId="3" borderId="0" xfId="6" applyNumberFormat="1" applyFont="1" applyFill="1" applyAlignment="1">
      <alignment vertical="center"/>
    </xf>
    <xf numFmtId="0" fontId="17" fillId="3" borderId="7" xfId="6" applyFont="1" applyFill="1" applyBorder="1" applyAlignment="1">
      <alignment horizontal="justify" vertical="top" wrapText="1"/>
    </xf>
    <xf numFmtId="3" fontId="17" fillId="3" borderId="7" xfId="6" applyNumberFormat="1" applyFont="1" applyFill="1" applyBorder="1" applyAlignment="1">
      <alignment horizontal="right" vertical="top"/>
    </xf>
    <xf numFmtId="167" fontId="17" fillId="3" borderId="7" xfId="3" applyNumberFormat="1" applyFont="1" applyFill="1" applyBorder="1" applyAlignment="1">
      <alignment horizontal="left" vertical="top" wrapText="1"/>
    </xf>
    <xf numFmtId="0" fontId="17" fillId="3" borderId="23" xfId="6" applyFont="1" applyFill="1" applyBorder="1" applyAlignment="1">
      <alignment horizontal="justify" vertical="top" wrapText="1"/>
    </xf>
    <xf numFmtId="9" fontId="17" fillId="3" borderId="6" xfId="4" applyFont="1" applyFill="1" applyBorder="1" applyAlignment="1">
      <alignment horizontal="center" wrapText="1"/>
    </xf>
    <xf numFmtId="9" fontId="17" fillId="3" borderId="6" xfId="4" applyFont="1" applyFill="1" applyBorder="1" applyAlignment="1">
      <alignment horizontal="center" vertical="top" wrapText="1"/>
    </xf>
    <xf numFmtId="9" fontId="17" fillId="3" borderId="6" xfId="4" applyFont="1" applyFill="1" applyBorder="1" applyAlignment="1">
      <alignment horizontal="right" vertical="top" wrapText="1"/>
    </xf>
    <xf numFmtId="0" fontId="16" fillId="3" borderId="27" xfId="6" applyFont="1" applyFill="1" applyBorder="1" applyAlignment="1">
      <alignment vertical="top" wrapText="1"/>
    </xf>
    <xf numFmtId="0" fontId="16" fillId="3" borderId="4" xfId="6" applyFont="1" applyFill="1" applyBorder="1" applyAlignment="1">
      <alignment vertical="top" wrapText="1"/>
    </xf>
    <xf numFmtId="0" fontId="16" fillId="3" borderId="27" xfId="6" applyFont="1" applyFill="1" applyBorder="1" applyAlignment="1">
      <alignment vertical="top"/>
    </xf>
    <xf numFmtId="1" fontId="17" fillId="3" borderId="6" xfId="6" applyNumberFormat="1" applyFont="1" applyFill="1" applyBorder="1" applyAlignment="1">
      <alignment horizontal="center" vertical="center" wrapText="1"/>
    </xf>
    <xf numFmtId="3" fontId="17" fillId="3" borderId="13" xfId="6" applyNumberFormat="1" applyFont="1" applyFill="1" applyBorder="1" applyAlignment="1">
      <alignment horizontal="right" vertical="top"/>
    </xf>
    <xf numFmtId="164" fontId="17" fillId="3" borderId="13" xfId="6" applyNumberFormat="1" applyFont="1" applyFill="1" applyBorder="1" applyAlignment="1">
      <alignment horizontal="right" vertical="top"/>
    </xf>
    <xf numFmtId="0" fontId="17" fillId="3" borderId="7" xfId="6" applyFont="1" applyFill="1" applyBorder="1" applyAlignment="1">
      <alignment vertical="top" wrapText="1"/>
    </xf>
    <xf numFmtId="2" fontId="17" fillId="3" borderId="7" xfId="3" applyNumberFormat="1" applyFont="1" applyFill="1" applyBorder="1" applyAlignment="1">
      <alignment horizontal="right" vertical="top" wrapText="1"/>
    </xf>
    <xf numFmtId="1" fontId="17" fillId="3" borderId="6" xfId="6" applyNumberFormat="1" applyFont="1" applyFill="1" applyBorder="1" applyAlignment="1">
      <alignment horizontal="center" vertical="top" wrapText="1"/>
    </xf>
    <xf numFmtId="3" fontId="17" fillId="3" borderId="4" xfId="6" applyNumberFormat="1" applyFont="1" applyFill="1" applyBorder="1" applyAlignment="1">
      <alignment horizontal="right" vertical="top"/>
    </xf>
    <xf numFmtId="164" fontId="17" fillId="3" borderId="4" xfId="6" applyNumberFormat="1" applyFont="1" applyFill="1" applyBorder="1" applyAlignment="1">
      <alignment horizontal="right" vertical="top"/>
    </xf>
    <xf numFmtId="164" fontId="21" fillId="3" borderId="3" xfId="4" applyNumberFormat="1" applyFont="1" applyFill="1" applyBorder="1" applyAlignment="1">
      <alignment horizontal="right" vertical="top" wrapText="1"/>
    </xf>
    <xf numFmtId="164" fontId="21" fillId="3" borderId="5" xfId="4" applyNumberFormat="1" applyFont="1" applyFill="1" applyBorder="1" applyAlignment="1">
      <alignment horizontal="right" vertical="top" wrapText="1"/>
    </xf>
    <xf numFmtId="0" fontId="16" fillId="3" borderId="37" xfId="6" applyFont="1" applyFill="1" applyBorder="1" applyAlignment="1">
      <alignment vertical="top"/>
    </xf>
    <xf numFmtId="0" fontId="16" fillId="3" borderId="0" xfId="6" applyFont="1" applyFill="1" applyAlignment="1">
      <alignment vertical="top"/>
    </xf>
    <xf numFmtId="0" fontId="16" fillId="3" borderId="3" xfId="6" applyFont="1" applyFill="1" applyBorder="1" applyAlignment="1">
      <alignment vertical="top"/>
    </xf>
    <xf numFmtId="9" fontId="17" fillId="3" borderId="6" xfId="6" applyNumberFormat="1" applyFont="1" applyFill="1" applyBorder="1" applyAlignment="1">
      <alignment horizontal="center" vertical="top" wrapText="1"/>
    </xf>
    <xf numFmtId="41" fontId="17" fillId="3" borderId="6" xfId="3" applyNumberFormat="1" applyFont="1" applyFill="1" applyBorder="1" applyAlignment="1">
      <alignment vertical="top"/>
    </xf>
    <xf numFmtId="165" fontId="17" fillId="3" borderId="6" xfId="6" applyNumberFormat="1" applyFont="1" applyFill="1" applyBorder="1" applyAlignment="1">
      <alignment horizontal="center" vertical="top" wrapText="1"/>
    </xf>
    <xf numFmtId="9" fontId="17" fillId="3" borderId="6" xfId="6" applyNumberFormat="1" applyFont="1" applyFill="1" applyBorder="1" applyAlignment="1">
      <alignment horizontal="right" vertical="top" wrapText="1"/>
    </xf>
    <xf numFmtId="165" fontId="21" fillId="3" borderId="6" xfId="6" applyNumberFormat="1" applyFont="1" applyFill="1" applyBorder="1" applyAlignment="1">
      <alignment horizontal="right" vertical="top" wrapText="1"/>
    </xf>
    <xf numFmtId="164" fontId="21" fillId="3" borderId="6" xfId="3" applyFont="1" applyFill="1" applyBorder="1" applyAlignment="1">
      <alignment vertical="top"/>
    </xf>
    <xf numFmtId="41" fontId="17" fillId="3" borderId="3" xfId="3" applyNumberFormat="1" applyFont="1" applyFill="1" applyBorder="1" applyAlignment="1">
      <alignment vertical="top"/>
    </xf>
    <xf numFmtId="164" fontId="17" fillId="3" borderId="3" xfId="3" applyFont="1" applyFill="1" applyBorder="1" applyAlignment="1">
      <alignment vertical="top"/>
    </xf>
    <xf numFmtId="9" fontId="17" fillId="3" borderId="3" xfId="6" applyNumberFormat="1" applyFont="1" applyFill="1" applyBorder="1" applyAlignment="1">
      <alignment horizontal="right" vertical="top" wrapText="1"/>
    </xf>
    <xf numFmtId="165" fontId="21" fillId="3" borderId="5" xfId="6" applyNumberFormat="1" applyFont="1" applyFill="1" applyBorder="1" applyAlignment="1">
      <alignment horizontal="right" vertical="top" wrapText="1"/>
    </xf>
    <xf numFmtId="165" fontId="21" fillId="3" borderId="3" xfId="6" applyNumberFormat="1" applyFont="1" applyFill="1" applyBorder="1" applyAlignment="1">
      <alignment horizontal="right" vertical="top" wrapText="1"/>
    </xf>
    <xf numFmtId="165" fontId="17" fillId="3" borderId="5" xfId="6" applyNumberFormat="1" applyFont="1" applyFill="1" applyBorder="1" applyAlignment="1">
      <alignment horizontal="center" vertical="top" wrapText="1"/>
    </xf>
    <xf numFmtId="165" fontId="17" fillId="3" borderId="3" xfId="6" applyNumberFormat="1" applyFont="1" applyFill="1" applyBorder="1" applyAlignment="1">
      <alignment horizontal="center" vertical="top" wrapText="1"/>
    </xf>
    <xf numFmtId="164" fontId="17" fillId="3" borderId="6" xfId="6" applyNumberFormat="1" applyFont="1" applyFill="1" applyBorder="1" applyAlignment="1">
      <alignment horizontal="center" vertical="center" wrapText="1"/>
    </xf>
    <xf numFmtId="164" fontId="21" fillId="3" borderId="6" xfId="3" applyFont="1" applyFill="1" applyBorder="1" applyAlignment="1">
      <alignment horizontal="right" vertical="top"/>
    </xf>
    <xf numFmtId="164" fontId="17" fillId="3" borderId="5" xfId="6" applyNumberFormat="1" applyFont="1" applyFill="1" applyBorder="1" applyAlignment="1">
      <alignment horizontal="center" vertical="center" wrapText="1"/>
    </xf>
    <xf numFmtId="164" fontId="17" fillId="3" borderId="6" xfId="3" quotePrefix="1" applyFont="1" applyFill="1" applyBorder="1" applyAlignment="1">
      <alignment horizontal="right" vertical="top" wrapText="1"/>
    </xf>
    <xf numFmtId="164" fontId="17" fillId="3" borderId="20" xfId="3" applyFont="1" applyFill="1" applyBorder="1" applyAlignment="1">
      <alignment horizontal="right" vertical="top" wrapText="1"/>
    </xf>
    <xf numFmtId="167" fontId="17" fillId="3" borderId="5" xfId="3" applyNumberFormat="1" applyFont="1" applyFill="1" applyBorder="1" applyAlignment="1">
      <alignment horizontal="right" vertical="top" wrapText="1"/>
    </xf>
    <xf numFmtId="167" fontId="21" fillId="3" borderId="3" xfId="3" applyNumberFormat="1" applyFont="1" applyFill="1" applyBorder="1" applyAlignment="1">
      <alignment horizontal="center" vertical="top" wrapText="1"/>
    </xf>
    <xf numFmtId="167" fontId="21" fillId="3" borderId="5" xfId="3" applyNumberFormat="1" applyFont="1" applyFill="1" applyBorder="1" applyAlignment="1">
      <alignment horizontal="center" vertical="top" wrapText="1"/>
    </xf>
    <xf numFmtId="167" fontId="17" fillId="3" borderId="3" xfId="3" applyNumberFormat="1" applyFont="1" applyFill="1" applyBorder="1" applyAlignment="1">
      <alignment horizontal="center" vertical="top"/>
    </xf>
    <xf numFmtId="167" fontId="17" fillId="3" borderId="5" xfId="3" applyNumberFormat="1" applyFont="1" applyFill="1" applyBorder="1" applyAlignment="1">
      <alignment horizontal="center" vertical="top"/>
    </xf>
    <xf numFmtId="170" fontId="16" fillId="3" borderId="14" xfId="6" applyNumberFormat="1" applyFont="1" applyFill="1" applyBorder="1" applyAlignment="1">
      <alignment vertical="center"/>
    </xf>
    <xf numFmtId="170" fontId="16" fillId="3" borderId="14" xfId="6" applyNumberFormat="1" applyFont="1" applyFill="1" applyBorder="1" applyAlignment="1">
      <alignment horizontal="right" vertical="center"/>
    </xf>
    <xf numFmtId="167" fontId="16" fillId="3" borderId="14" xfId="6" applyNumberFormat="1" applyFont="1" applyFill="1" applyBorder="1" applyAlignment="1">
      <alignment vertical="center"/>
    </xf>
    <xf numFmtId="0" fontId="16" fillId="3" borderId="32" xfId="6" applyFont="1" applyFill="1" applyBorder="1" applyAlignment="1">
      <alignment vertical="center"/>
    </xf>
    <xf numFmtId="2" fontId="16" fillId="3" borderId="14" xfId="6" applyNumberFormat="1" applyFont="1" applyFill="1" applyBorder="1" applyAlignment="1">
      <alignment vertical="center"/>
    </xf>
    <xf numFmtId="0" fontId="17" fillId="3" borderId="14" xfId="6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0" borderId="0" xfId="6" applyFont="1" applyAlignment="1">
      <alignment horizontal="left" vertical="center"/>
    </xf>
    <xf numFmtId="0" fontId="20" fillId="3" borderId="5" xfId="0" applyFont="1" applyFill="1" applyBorder="1" applyAlignment="1">
      <alignment vertical="top"/>
    </xf>
    <xf numFmtId="164" fontId="17" fillId="3" borderId="13" xfId="6" applyNumberFormat="1" applyFont="1" applyFill="1" applyBorder="1" applyAlignment="1">
      <alignment horizontal="center" vertical="top"/>
    </xf>
    <xf numFmtId="164" fontId="17" fillId="3" borderId="4" xfId="6" applyNumberFormat="1" applyFont="1" applyFill="1" applyBorder="1" applyAlignment="1">
      <alignment horizontal="center" vertical="top"/>
    </xf>
    <xf numFmtId="0" fontId="16" fillId="4" borderId="6" xfId="6" applyFont="1" applyFill="1" applyBorder="1" applyAlignment="1">
      <alignment horizontal="center" vertical="center" wrapText="1"/>
    </xf>
    <xf numFmtId="164" fontId="16" fillId="4" borderId="6" xfId="6" applyNumberFormat="1" applyFont="1" applyFill="1" applyBorder="1" applyAlignment="1">
      <alignment horizontal="right" vertical="top" wrapText="1"/>
    </xf>
    <xf numFmtId="0" fontId="16" fillId="4" borderId="6" xfId="6" applyFont="1" applyFill="1" applyBorder="1" applyAlignment="1">
      <alignment horizontal="center" vertical="top"/>
    </xf>
    <xf numFmtId="0" fontId="16" fillId="4" borderId="6" xfId="6" applyFont="1" applyFill="1" applyBorder="1" applyAlignment="1">
      <alignment horizontal="right" vertical="top" wrapText="1"/>
    </xf>
    <xf numFmtId="2" fontId="16" fillId="4" borderId="6" xfId="6" applyNumberFormat="1" applyFont="1" applyFill="1" applyBorder="1" applyAlignment="1">
      <alignment horizontal="right" vertical="top" wrapText="1"/>
    </xf>
    <xf numFmtId="167" fontId="16" fillId="4" borderId="6" xfId="6" applyNumberFormat="1" applyFont="1" applyFill="1" applyBorder="1" applyAlignment="1">
      <alignment horizontal="center" vertical="top" wrapText="1"/>
    </xf>
    <xf numFmtId="164" fontId="16" fillId="4" borderId="3" xfId="6" applyNumberFormat="1" applyFont="1" applyFill="1" applyBorder="1" applyAlignment="1">
      <alignment horizontal="left" vertical="top" wrapText="1"/>
    </xf>
    <xf numFmtId="164" fontId="16" fillId="4" borderId="3" xfId="6" applyNumberFormat="1" applyFont="1" applyFill="1" applyBorder="1" applyAlignment="1">
      <alignment horizontal="right" vertical="top" wrapText="1"/>
    </xf>
    <xf numFmtId="0" fontId="16" fillId="4" borderId="3" xfId="6" applyFont="1" applyFill="1" applyBorder="1" applyAlignment="1">
      <alignment horizontal="center" vertical="top"/>
    </xf>
    <xf numFmtId="0" fontId="16" fillId="4" borderId="3" xfId="6" applyFont="1" applyFill="1" applyBorder="1" applyAlignment="1">
      <alignment horizontal="right" vertical="top" wrapText="1"/>
    </xf>
    <xf numFmtId="164" fontId="16" fillId="4" borderId="5" xfId="6" applyNumberFormat="1" applyFont="1" applyFill="1" applyBorder="1" applyAlignment="1">
      <alignment horizontal="right" vertical="top" wrapText="1"/>
    </xf>
    <xf numFmtId="2" fontId="16" fillId="4" borderId="5" xfId="6" applyNumberFormat="1" applyFont="1" applyFill="1" applyBorder="1" applyAlignment="1">
      <alignment horizontal="right" vertical="top" wrapText="1"/>
    </xf>
    <xf numFmtId="167" fontId="17" fillId="4" borderId="5" xfId="6" applyNumberFormat="1" applyFont="1" applyFill="1" applyBorder="1" applyAlignment="1">
      <alignment horizontal="center" vertical="top" wrapText="1"/>
    </xf>
    <xf numFmtId="0" fontId="16" fillId="4" borderId="6" xfId="6" applyFont="1" applyFill="1" applyBorder="1" applyAlignment="1">
      <alignment horizontal="center" vertical="top" wrapText="1"/>
    </xf>
    <xf numFmtId="164" fontId="16" fillId="4" borderId="6" xfId="3" applyFont="1" applyFill="1" applyBorder="1" applyAlignment="1">
      <alignment horizontal="left" vertical="top" wrapText="1"/>
    </xf>
    <xf numFmtId="164" fontId="16" fillId="4" borderId="6" xfId="6" applyNumberFormat="1" applyFont="1" applyFill="1" applyBorder="1" applyAlignment="1">
      <alignment horizontal="right" vertical="center" wrapText="1"/>
    </xf>
    <xf numFmtId="165" fontId="16" fillId="4" borderId="6" xfId="6" applyNumberFormat="1" applyFont="1" applyFill="1" applyBorder="1" applyAlignment="1">
      <alignment horizontal="right" vertical="top" wrapText="1"/>
    </xf>
    <xf numFmtId="167" fontId="16" fillId="4" borderId="6" xfId="6" applyNumberFormat="1" applyFont="1" applyFill="1" applyBorder="1" applyAlignment="1">
      <alignment horizontal="right" vertical="top" wrapText="1"/>
    </xf>
    <xf numFmtId="9" fontId="16" fillId="4" borderId="3" xfId="6" applyNumberFormat="1" applyFont="1" applyFill="1" applyBorder="1" applyAlignment="1">
      <alignment horizontal="center" vertical="top" wrapText="1"/>
    </xf>
    <xf numFmtId="169" fontId="16" fillId="4" borderId="3" xfId="6" applyNumberFormat="1" applyFont="1" applyFill="1" applyBorder="1" applyAlignment="1">
      <alignment horizontal="right" vertical="top" wrapText="1"/>
    </xf>
    <xf numFmtId="164" fontId="16" fillId="4" borderId="5" xfId="6" applyNumberFormat="1" applyFont="1" applyFill="1" applyBorder="1" applyAlignment="1">
      <alignment horizontal="right" vertical="center" wrapText="1"/>
    </xf>
    <xf numFmtId="165" fontId="16" fillId="4" borderId="5" xfId="6" applyNumberFormat="1" applyFont="1" applyFill="1" applyBorder="1" applyAlignment="1">
      <alignment horizontal="right" vertical="top" wrapText="1"/>
    </xf>
    <xf numFmtId="167" fontId="16" fillId="4" borderId="5" xfId="6" applyNumberFormat="1" applyFont="1" applyFill="1" applyBorder="1" applyAlignment="1">
      <alignment horizontal="right" vertical="top" wrapText="1"/>
    </xf>
    <xf numFmtId="164" fontId="16" fillId="4" borderId="3" xfId="3" applyFont="1" applyFill="1" applyBorder="1" applyAlignment="1">
      <alignment horizontal="center" vertical="top" wrapText="1"/>
    </xf>
    <xf numFmtId="171" fontId="16" fillId="4" borderId="3" xfId="6" applyNumberFormat="1" applyFont="1" applyFill="1" applyBorder="1" applyAlignment="1">
      <alignment vertical="top" wrapText="1"/>
    </xf>
    <xf numFmtId="167" fontId="16" fillId="4" borderId="3" xfId="3" applyNumberFormat="1" applyFont="1" applyFill="1" applyBorder="1" applyAlignment="1">
      <alignment horizontal="left" vertical="center" wrapText="1"/>
    </xf>
    <xf numFmtId="0" fontId="16" fillId="4" borderId="3" xfId="6" applyFont="1" applyFill="1" applyBorder="1" applyAlignment="1">
      <alignment vertical="top" wrapText="1"/>
    </xf>
    <xf numFmtId="0" fontId="16" fillId="4" borderId="5" xfId="6" applyFont="1" applyFill="1" applyBorder="1" applyAlignment="1">
      <alignment horizontal="right" vertical="top" wrapText="1"/>
    </xf>
    <xf numFmtId="0" fontId="16" fillId="4" borderId="10" xfId="6" applyFont="1" applyFill="1" applyBorder="1" applyAlignment="1">
      <alignment vertical="top" wrapText="1"/>
    </xf>
    <xf numFmtId="2" fontId="16" fillId="4" borderId="3" xfId="6" applyNumberFormat="1" applyFont="1" applyFill="1" applyBorder="1" applyAlignment="1">
      <alignment vertical="top" wrapText="1"/>
    </xf>
    <xf numFmtId="0" fontId="16" fillId="4" borderId="5" xfId="6" applyFont="1" applyFill="1" applyBorder="1" applyAlignment="1">
      <alignment vertical="top" wrapText="1"/>
    </xf>
    <xf numFmtId="167" fontId="17" fillId="4" borderId="5" xfId="3" applyNumberFormat="1" applyFont="1" applyFill="1" applyBorder="1" applyAlignment="1">
      <alignment horizontal="left" vertical="center" wrapText="1"/>
    </xf>
    <xf numFmtId="164" fontId="16" fillId="4" borderId="3" xfId="3" applyFont="1" applyFill="1" applyBorder="1" applyAlignment="1">
      <alignment horizontal="left" vertical="top" wrapText="1"/>
    </xf>
    <xf numFmtId="167" fontId="16" fillId="4" borderId="3" xfId="6" applyNumberFormat="1" applyFont="1" applyFill="1" applyBorder="1" applyAlignment="1">
      <alignment horizontal="right" vertical="top" wrapText="1"/>
    </xf>
    <xf numFmtId="164" fontId="16" fillId="4" borderId="5" xfId="3" applyFont="1" applyFill="1" applyBorder="1" applyAlignment="1">
      <alignment horizontal="left" vertical="top" wrapText="1"/>
    </xf>
    <xf numFmtId="0" fontId="16" fillId="4" borderId="11" xfId="6" applyFont="1" applyFill="1" applyBorder="1" applyAlignment="1">
      <alignment horizontal="center" vertical="top" wrapText="1"/>
    </xf>
    <xf numFmtId="0" fontId="16" fillId="4" borderId="11" xfId="6" applyFont="1" applyFill="1" applyBorder="1" applyAlignment="1">
      <alignment horizontal="right" vertical="top" wrapText="1"/>
    </xf>
    <xf numFmtId="9" fontId="16" fillId="4" borderId="16" xfId="6" applyNumberFormat="1" applyFont="1" applyFill="1" applyBorder="1" applyAlignment="1">
      <alignment horizontal="center" vertical="top" wrapText="1"/>
    </xf>
    <xf numFmtId="164" fontId="16" fillId="4" borderId="5" xfId="3" applyFont="1" applyFill="1" applyBorder="1" applyAlignment="1">
      <alignment vertical="top" wrapText="1"/>
    </xf>
    <xf numFmtId="9" fontId="16" fillId="4" borderId="16" xfId="6" applyNumberFormat="1" applyFont="1" applyFill="1" applyBorder="1" applyAlignment="1">
      <alignment horizontal="right" vertical="top" wrapText="1"/>
    </xf>
    <xf numFmtId="167" fontId="16" fillId="4" borderId="5" xfId="3" applyNumberFormat="1" applyFont="1" applyFill="1" applyBorder="1" applyAlignment="1">
      <alignment vertical="top" wrapText="1"/>
    </xf>
    <xf numFmtId="164" fontId="16" fillId="4" borderId="6" xfId="3" applyFont="1" applyFill="1" applyBorder="1" applyAlignment="1">
      <alignment horizontal="center" vertical="center"/>
    </xf>
    <xf numFmtId="164" fontId="16" fillId="4" borderId="5" xfId="3" applyFont="1" applyFill="1" applyBorder="1" applyAlignment="1">
      <alignment vertical="center" wrapText="1"/>
    </xf>
    <xf numFmtId="0" fontId="16" fillId="4" borderId="6" xfId="6" applyFont="1" applyFill="1" applyBorder="1" applyAlignment="1">
      <alignment horizontal="right" vertical="center" wrapText="1"/>
    </xf>
    <xf numFmtId="1" fontId="22" fillId="4" borderId="3" xfId="6" applyNumberFormat="1" applyFont="1" applyFill="1" applyBorder="1" applyAlignment="1">
      <alignment horizontal="center" vertical="top" wrapText="1"/>
    </xf>
    <xf numFmtId="164" fontId="22" fillId="4" borderId="3" xfId="6" applyNumberFormat="1" applyFont="1" applyFill="1" applyBorder="1" applyAlignment="1">
      <alignment horizontal="right" vertical="top" wrapText="1"/>
    </xf>
    <xf numFmtId="164" fontId="16" fillId="4" borderId="21" xfId="4" applyNumberFormat="1" applyFont="1" applyFill="1" applyBorder="1" applyAlignment="1">
      <alignment horizontal="right" vertical="top" wrapText="1"/>
    </xf>
    <xf numFmtId="1" fontId="22" fillId="4" borderId="3" xfId="6" applyNumberFormat="1" applyFont="1" applyFill="1" applyBorder="1" applyAlignment="1">
      <alignment horizontal="right" vertical="top" wrapText="1"/>
    </xf>
    <xf numFmtId="2" fontId="16" fillId="4" borderId="3" xfId="3" applyNumberFormat="1" applyFont="1" applyFill="1" applyBorder="1" applyAlignment="1">
      <alignment horizontal="right" vertical="top" wrapText="1"/>
    </xf>
    <xf numFmtId="167" fontId="16" fillId="4" borderId="3" xfId="3" applyNumberFormat="1" applyFont="1" applyFill="1" applyBorder="1" applyAlignment="1">
      <alignment horizontal="left" vertical="top" wrapText="1"/>
    </xf>
    <xf numFmtId="164" fontId="16" fillId="4" borderId="5" xfId="4" applyNumberFormat="1" applyFont="1" applyFill="1" applyBorder="1" applyAlignment="1">
      <alignment horizontal="right" vertical="top" wrapText="1"/>
    </xf>
    <xf numFmtId="2" fontId="16" fillId="4" borderId="5" xfId="3" applyNumberFormat="1" applyFont="1" applyFill="1" applyBorder="1" applyAlignment="1">
      <alignment horizontal="right" vertical="top" wrapText="1"/>
    </xf>
    <xf numFmtId="167" fontId="16" fillId="4" borderId="5" xfId="3" applyNumberFormat="1" applyFont="1" applyFill="1" applyBorder="1" applyAlignment="1">
      <alignment horizontal="left" vertical="top" wrapText="1"/>
    </xf>
    <xf numFmtId="3" fontId="22" fillId="4" borderId="6" xfId="6" applyNumberFormat="1" applyFont="1" applyFill="1" applyBorder="1" applyAlignment="1">
      <alignment horizontal="center" vertical="top" wrapText="1"/>
    </xf>
    <xf numFmtId="164" fontId="22" fillId="4" borderId="6" xfId="6" applyNumberFormat="1" applyFont="1" applyFill="1" applyBorder="1" applyAlignment="1">
      <alignment horizontal="left" vertical="top" wrapText="1"/>
    </xf>
    <xf numFmtId="0" fontId="22" fillId="4" borderId="6" xfId="6" applyFont="1" applyFill="1" applyBorder="1" applyAlignment="1">
      <alignment horizontal="right" vertical="top" wrapText="1"/>
    </xf>
    <xf numFmtId="167" fontId="16" fillId="4" borderId="6" xfId="3" applyNumberFormat="1" applyFont="1" applyFill="1" applyBorder="1" applyAlignment="1">
      <alignment horizontal="left" vertical="top" wrapText="1"/>
    </xf>
    <xf numFmtId="164" fontId="22" fillId="4" borderId="5" xfId="6" applyNumberFormat="1" applyFont="1" applyFill="1" applyBorder="1" applyAlignment="1">
      <alignment horizontal="left" vertical="top" wrapText="1"/>
    </xf>
    <xf numFmtId="0" fontId="22" fillId="4" borderId="5" xfId="6" applyFont="1" applyFill="1" applyBorder="1" applyAlignment="1">
      <alignment horizontal="right" vertical="top" wrapText="1"/>
    </xf>
    <xf numFmtId="164" fontId="16" fillId="4" borderId="3" xfId="6" applyNumberFormat="1" applyFont="1" applyFill="1" applyBorder="1" applyAlignment="1">
      <alignment horizontal="right" vertical="center" wrapText="1"/>
    </xf>
    <xf numFmtId="167" fontId="22" fillId="4" borderId="3" xfId="6" applyNumberFormat="1" applyFont="1" applyFill="1" applyBorder="1" applyAlignment="1">
      <alignment horizontal="center" vertical="top" wrapText="1"/>
    </xf>
    <xf numFmtId="164" fontId="16" fillId="4" borderId="3" xfId="3" applyFont="1" applyFill="1" applyBorder="1" applyAlignment="1">
      <alignment vertical="center" wrapText="1"/>
    </xf>
    <xf numFmtId="164" fontId="16" fillId="4" borderId="3" xfId="3" applyFont="1" applyFill="1" applyBorder="1" applyAlignment="1">
      <alignment horizontal="center" vertical="center" wrapText="1"/>
    </xf>
    <xf numFmtId="164" fontId="16" fillId="4" borderId="3" xfId="3" applyFont="1" applyFill="1" applyBorder="1" applyAlignment="1">
      <alignment horizontal="right" vertical="center" wrapText="1"/>
    </xf>
    <xf numFmtId="167" fontId="16" fillId="4" borderId="21" xfId="3" applyNumberFormat="1" applyFont="1" applyFill="1" applyBorder="1" applyAlignment="1">
      <alignment horizontal="left" vertical="top" wrapText="1"/>
    </xf>
    <xf numFmtId="0" fontId="16" fillId="4" borderId="5" xfId="6" applyFont="1" applyFill="1" applyBorder="1" applyAlignment="1">
      <alignment horizontal="left" vertical="center" wrapText="1"/>
    </xf>
    <xf numFmtId="164" fontId="16" fillId="4" borderId="5" xfId="3" applyFont="1" applyFill="1" applyBorder="1" applyAlignment="1">
      <alignment horizontal="center" vertical="center" wrapText="1"/>
    </xf>
    <xf numFmtId="0" fontId="16" fillId="4" borderId="5" xfId="6" applyFont="1" applyFill="1" applyBorder="1" applyAlignment="1">
      <alignment horizontal="right" vertical="center" wrapText="1"/>
    </xf>
    <xf numFmtId="164" fontId="16" fillId="4" borderId="6" xfId="3" applyFont="1" applyFill="1" applyBorder="1" applyAlignment="1">
      <alignment horizontal="center" vertical="center" wrapText="1"/>
    </xf>
    <xf numFmtId="164" fontId="16" fillId="4" borderId="6" xfId="3" quotePrefix="1" applyFont="1" applyFill="1" applyBorder="1" applyAlignment="1">
      <alignment horizontal="center" vertical="top" wrapText="1"/>
    </xf>
    <xf numFmtId="164" fontId="16" fillId="4" borderId="6" xfId="3" applyFont="1" applyFill="1" applyBorder="1" applyAlignment="1">
      <alignment horizontal="right" vertical="center" wrapText="1"/>
    </xf>
    <xf numFmtId="167" fontId="16" fillId="4" borderId="6" xfId="3" applyNumberFormat="1" applyFont="1" applyFill="1" applyBorder="1" applyAlignment="1">
      <alignment horizontal="left" vertical="center" wrapText="1"/>
    </xf>
    <xf numFmtId="167" fontId="16" fillId="4" borderId="5" xfId="3" applyNumberFormat="1" applyFont="1" applyFill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top" wrapText="1"/>
    </xf>
    <xf numFmtId="164" fontId="22" fillId="4" borderId="3" xfId="3" applyFont="1" applyFill="1" applyBorder="1" applyAlignment="1">
      <alignment horizontal="center" vertical="top" wrapText="1"/>
    </xf>
    <xf numFmtId="167" fontId="22" fillId="4" borderId="5" xfId="3" applyNumberFormat="1" applyFont="1" applyFill="1" applyBorder="1" applyAlignment="1">
      <alignment horizontal="center" vertical="top" wrapText="1"/>
    </xf>
    <xf numFmtId="165" fontId="16" fillId="4" borderId="6" xfId="3" applyNumberFormat="1" applyFont="1" applyFill="1" applyBorder="1" applyAlignment="1">
      <alignment horizontal="center" vertical="top" wrapText="1"/>
    </xf>
    <xf numFmtId="167" fontId="16" fillId="4" borderId="11" xfId="3" applyNumberFormat="1" applyFont="1" applyFill="1" applyBorder="1" applyAlignment="1">
      <alignment horizontal="left" vertical="top" wrapText="1"/>
    </xf>
    <xf numFmtId="172" fontId="16" fillId="4" borderId="6" xfId="3" applyNumberFormat="1" applyFont="1" applyFill="1" applyBorder="1" applyAlignment="1">
      <alignment horizontal="center" vertical="top" wrapText="1"/>
    </xf>
    <xf numFmtId="165" fontId="16" fillId="4" borderId="6" xfId="3" applyNumberFormat="1" applyFont="1" applyFill="1" applyBorder="1" applyAlignment="1">
      <alignment horizontal="left" vertical="top" wrapText="1"/>
    </xf>
    <xf numFmtId="0" fontId="22" fillId="4" borderId="3" xfId="6" applyFont="1" applyFill="1" applyBorder="1" applyAlignment="1">
      <alignment horizontal="center" vertical="top"/>
    </xf>
    <xf numFmtId="164" fontId="22" fillId="4" borderId="3" xfId="3" applyFont="1" applyFill="1" applyBorder="1" applyAlignment="1">
      <alignment horizontal="center" vertical="top"/>
    </xf>
    <xf numFmtId="0" fontId="22" fillId="4" borderId="3" xfId="6" applyFont="1" applyFill="1" applyBorder="1" applyAlignment="1">
      <alignment horizontal="right" vertical="top"/>
    </xf>
    <xf numFmtId="167" fontId="22" fillId="4" borderId="3" xfId="3" applyNumberFormat="1" applyFont="1" applyFill="1" applyBorder="1" applyAlignment="1">
      <alignment horizontal="center" vertical="top"/>
    </xf>
    <xf numFmtId="0" fontId="22" fillId="4" borderId="6" xfId="6" quotePrefix="1" applyFont="1" applyFill="1" applyBorder="1" applyAlignment="1">
      <alignment horizontal="center" vertical="top" wrapText="1"/>
    </xf>
    <xf numFmtId="164" fontId="22" fillId="4" borderId="6" xfId="6" applyNumberFormat="1" applyFont="1" applyFill="1" applyBorder="1" applyAlignment="1">
      <alignment horizontal="right" vertical="top" wrapText="1"/>
    </xf>
    <xf numFmtId="0" fontId="22" fillId="4" borderId="6" xfId="6" quotePrefix="1" applyFont="1" applyFill="1" applyBorder="1" applyAlignment="1">
      <alignment horizontal="right" vertical="top" wrapText="1"/>
    </xf>
    <xf numFmtId="0" fontId="22" fillId="4" borderId="5" xfId="6" quotePrefix="1" applyFont="1" applyFill="1" applyBorder="1" applyAlignment="1">
      <alignment horizontal="right" vertical="top" wrapText="1"/>
    </xf>
    <xf numFmtId="164" fontId="22" fillId="4" borderId="3" xfId="6" applyNumberFormat="1" applyFont="1" applyFill="1" applyBorder="1" applyAlignment="1">
      <alignment vertical="top" wrapText="1"/>
    </xf>
    <xf numFmtId="164" fontId="22" fillId="4" borderId="6" xfId="6" applyNumberFormat="1" applyFont="1" applyFill="1" applyBorder="1" applyAlignment="1">
      <alignment vertical="top" wrapText="1"/>
    </xf>
    <xf numFmtId="164" fontId="22" fillId="4" borderId="5" xfId="6" applyNumberFormat="1" applyFont="1" applyFill="1" applyBorder="1" applyAlignment="1">
      <alignment vertical="top" wrapText="1"/>
    </xf>
    <xf numFmtId="164" fontId="16" fillId="4" borderId="6" xfId="6" applyNumberFormat="1" applyFont="1" applyFill="1" applyBorder="1" applyAlignment="1">
      <alignment horizontal="center" vertical="top"/>
    </xf>
    <xf numFmtId="164" fontId="16" fillId="4" borderId="6" xfId="6" applyNumberFormat="1" applyFont="1" applyFill="1" applyBorder="1" applyAlignment="1">
      <alignment vertical="top"/>
    </xf>
    <xf numFmtId="164" fontId="16" fillId="4" borderId="6" xfId="6" applyNumberFormat="1" applyFont="1" applyFill="1" applyBorder="1" applyAlignment="1">
      <alignment vertical="top" wrapText="1"/>
    </xf>
    <xf numFmtId="164" fontId="16" fillId="4" borderId="5" xfId="6" applyNumberFormat="1" applyFont="1" applyFill="1" applyBorder="1" applyAlignment="1">
      <alignment vertical="top"/>
    </xf>
    <xf numFmtId="164" fontId="16" fillId="4" borderId="5" xfId="6" applyNumberFormat="1" applyFont="1" applyFill="1" applyBorder="1" applyAlignment="1">
      <alignment vertical="top" wrapText="1"/>
    </xf>
    <xf numFmtId="41" fontId="16" fillId="4" borderId="6" xfId="6" quotePrefix="1" applyNumberFormat="1" applyFont="1" applyFill="1" applyBorder="1" applyAlignment="1">
      <alignment horizontal="center" vertical="center"/>
    </xf>
    <xf numFmtId="41" fontId="16" fillId="4" borderId="6" xfId="6" quotePrefix="1" applyNumberFormat="1" applyFont="1" applyFill="1" applyBorder="1" applyAlignment="1">
      <alignment horizontal="right" vertical="center"/>
    </xf>
    <xf numFmtId="3" fontId="16" fillId="4" borderId="6" xfId="6" applyNumberFormat="1" applyFont="1" applyFill="1" applyBorder="1" applyAlignment="1">
      <alignment vertical="top"/>
    </xf>
    <xf numFmtId="3" fontId="16" fillId="4" borderId="3" xfId="6" applyNumberFormat="1" applyFont="1" applyFill="1" applyBorder="1" applyAlignment="1">
      <alignment vertical="top"/>
    </xf>
    <xf numFmtId="164" fontId="16" fillId="4" borderId="3" xfId="6" applyNumberFormat="1" applyFont="1" applyFill="1" applyBorder="1" applyAlignment="1">
      <alignment vertical="top"/>
    </xf>
    <xf numFmtId="3" fontId="16" fillId="4" borderId="5" xfId="6" applyNumberFormat="1" applyFont="1" applyFill="1" applyBorder="1" applyAlignment="1">
      <alignment vertical="top"/>
    </xf>
    <xf numFmtId="164" fontId="16" fillId="4" borderId="3" xfId="6" quotePrefix="1" applyNumberFormat="1" applyFont="1" applyFill="1" applyBorder="1" applyAlignment="1">
      <alignment horizontal="center" vertical="top" wrapText="1"/>
    </xf>
    <xf numFmtId="3" fontId="16" fillId="4" borderId="3" xfId="6" applyNumberFormat="1" applyFont="1" applyFill="1" applyBorder="1" applyAlignment="1">
      <alignment horizontal="right" vertical="top"/>
    </xf>
    <xf numFmtId="0" fontId="16" fillId="4" borderId="4" xfId="6" applyFont="1" applyFill="1" applyBorder="1" applyAlignment="1">
      <alignment horizontal="center" vertical="top" wrapText="1"/>
    </xf>
    <xf numFmtId="164" fontId="16" fillId="4" borderId="3" xfId="6" applyNumberFormat="1" applyFont="1" applyFill="1" applyBorder="1" applyAlignment="1">
      <alignment horizontal="right" vertical="top"/>
    </xf>
    <xf numFmtId="164" fontId="16" fillId="4" borderId="21" xfId="6" applyNumberFormat="1" applyFont="1" applyFill="1" applyBorder="1" applyAlignment="1">
      <alignment horizontal="right" vertical="top" wrapText="1"/>
    </xf>
    <xf numFmtId="164" fontId="16" fillId="4" borderId="20" xfId="6" applyNumberFormat="1" applyFont="1" applyFill="1" applyBorder="1" applyAlignment="1">
      <alignment horizontal="center" vertical="top" wrapText="1"/>
    </xf>
    <xf numFmtId="3" fontId="16" fillId="4" borderId="20" xfId="6" applyNumberFormat="1" applyFont="1" applyFill="1" applyBorder="1" applyAlignment="1">
      <alignment horizontal="right" vertical="top"/>
    </xf>
    <xf numFmtId="164" fontId="16" fillId="4" borderId="20" xfId="6" applyNumberFormat="1" applyFont="1" applyFill="1" applyBorder="1" applyAlignment="1">
      <alignment horizontal="right" vertical="top"/>
    </xf>
    <xf numFmtId="0" fontId="16" fillId="4" borderId="20" xfId="6" applyFont="1" applyFill="1" applyBorder="1" applyAlignment="1">
      <alignment horizontal="right" vertical="top" wrapText="1"/>
    </xf>
    <xf numFmtId="164" fontId="16" fillId="4" borderId="20" xfId="6" applyNumberFormat="1" applyFont="1" applyFill="1" applyBorder="1" applyAlignment="1">
      <alignment horizontal="right" vertical="top" wrapText="1"/>
    </xf>
    <xf numFmtId="2" fontId="16" fillId="4" borderId="20" xfId="3" applyNumberFormat="1" applyFont="1" applyFill="1" applyBorder="1" applyAlignment="1">
      <alignment horizontal="right" vertical="top" wrapText="1"/>
    </xf>
    <xf numFmtId="167" fontId="16" fillId="4" borderId="20" xfId="3" applyNumberFormat="1" applyFont="1" applyFill="1" applyBorder="1" applyAlignment="1">
      <alignment horizontal="left" vertical="top" wrapText="1"/>
    </xf>
    <xf numFmtId="9" fontId="22" fillId="4" borderId="6" xfId="4" applyFont="1" applyFill="1" applyBorder="1" applyAlignment="1">
      <alignment horizontal="center" vertical="top" wrapText="1"/>
    </xf>
    <xf numFmtId="3" fontId="22" fillId="4" borderId="6" xfId="6" applyNumberFormat="1" applyFont="1" applyFill="1" applyBorder="1" applyAlignment="1">
      <alignment vertical="top"/>
    </xf>
    <xf numFmtId="164" fontId="22" fillId="4" borderId="6" xfId="6" applyNumberFormat="1" applyFont="1" applyFill="1" applyBorder="1" applyAlignment="1">
      <alignment vertical="top"/>
    </xf>
    <xf numFmtId="9" fontId="22" fillId="4" borderId="6" xfId="4" applyFont="1" applyFill="1" applyBorder="1" applyAlignment="1">
      <alignment horizontal="right" vertical="top" wrapText="1"/>
    </xf>
    <xf numFmtId="9" fontId="22" fillId="4" borderId="5" xfId="6" applyNumberFormat="1" applyFont="1" applyFill="1" applyBorder="1" applyAlignment="1">
      <alignment horizontal="center" vertical="top" wrapText="1"/>
    </xf>
    <xf numFmtId="3" fontId="22" fillId="4" borderId="5" xfId="6" applyNumberFormat="1" applyFont="1" applyFill="1" applyBorder="1" applyAlignment="1">
      <alignment vertical="top"/>
    </xf>
    <xf numFmtId="164" fontId="22" fillId="4" borderId="5" xfId="6" applyNumberFormat="1" applyFont="1" applyFill="1" applyBorder="1" applyAlignment="1">
      <alignment vertical="top"/>
    </xf>
    <xf numFmtId="9" fontId="22" fillId="4" borderId="5" xfId="6" applyNumberFormat="1" applyFont="1" applyFill="1" applyBorder="1" applyAlignment="1">
      <alignment horizontal="right" vertical="top" wrapText="1"/>
    </xf>
    <xf numFmtId="9" fontId="22" fillId="4" borderId="5" xfId="4" applyFont="1" applyFill="1" applyBorder="1" applyAlignment="1">
      <alignment horizontal="right" vertical="top" wrapText="1"/>
    </xf>
    <xf numFmtId="0" fontId="22" fillId="4" borderId="7" xfId="6" applyFont="1" applyFill="1" applyBorder="1" applyAlignment="1">
      <alignment horizontal="justify" vertical="top" wrapText="1"/>
    </xf>
    <xf numFmtId="9" fontId="22" fillId="4" borderId="7" xfId="6" applyNumberFormat="1" applyFont="1" applyFill="1" applyBorder="1" applyAlignment="1">
      <alignment horizontal="center" vertical="top" wrapText="1"/>
    </xf>
    <xf numFmtId="41" fontId="22" fillId="4" borderId="7" xfId="3" applyNumberFormat="1" applyFont="1" applyFill="1" applyBorder="1" applyAlignment="1">
      <alignment vertical="top"/>
    </xf>
    <xf numFmtId="164" fontId="22" fillId="4" borderId="7" xfId="3" applyFont="1" applyFill="1" applyBorder="1" applyAlignment="1">
      <alignment vertical="top"/>
    </xf>
    <xf numFmtId="9" fontId="22" fillId="4" borderId="7" xfId="6" applyNumberFormat="1" applyFont="1" applyFill="1" applyBorder="1" applyAlignment="1">
      <alignment horizontal="right" vertical="top" wrapText="1"/>
    </xf>
    <xf numFmtId="0" fontId="22" fillId="4" borderId="7" xfId="6" applyFont="1" applyFill="1" applyBorder="1" applyAlignment="1">
      <alignment horizontal="center" vertical="top" wrapText="1"/>
    </xf>
    <xf numFmtId="164" fontId="22" fillId="4" borderId="7" xfId="3" applyFont="1" applyFill="1" applyBorder="1" applyAlignment="1">
      <alignment horizontal="center" vertical="top"/>
    </xf>
    <xf numFmtId="164" fontId="22" fillId="4" borderId="7" xfId="3" applyFont="1" applyFill="1" applyBorder="1" applyAlignment="1">
      <alignment horizontal="right" vertical="top"/>
    </xf>
    <xf numFmtId="167" fontId="16" fillId="4" borderId="7" xfId="3" applyNumberFormat="1" applyFont="1" applyFill="1" applyBorder="1" applyAlignment="1">
      <alignment horizontal="left" vertical="top" wrapText="1"/>
    </xf>
    <xf numFmtId="1" fontId="16" fillId="4" borderId="3" xfId="3" applyNumberFormat="1" applyFont="1" applyFill="1" applyBorder="1" applyAlignment="1">
      <alignment horizontal="center" vertical="top" wrapText="1"/>
    </xf>
    <xf numFmtId="164" fontId="22" fillId="4" borderId="3" xfId="3" applyFont="1" applyFill="1" applyBorder="1" applyAlignment="1">
      <alignment vertical="top"/>
    </xf>
    <xf numFmtId="1" fontId="22" fillId="4" borderId="5" xfId="6" applyNumberFormat="1" applyFont="1" applyFill="1" applyBorder="1" applyAlignment="1">
      <alignment horizontal="center" vertical="top" wrapText="1"/>
    </xf>
    <xf numFmtId="164" fontId="22" fillId="4" borderId="5" xfId="3" applyFont="1" applyFill="1" applyBorder="1" applyAlignment="1">
      <alignment vertical="top"/>
    </xf>
    <xf numFmtId="1" fontId="22" fillId="4" borderId="5" xfId="6" applyNumberFormat="1" applyFont="1" applyFill="1" applyBorder="1" applyAlignment="1">
      <alignment horizontal="right" vertical="top" wrapText="1"/>
    </xf>
    <xf numFmtId="0" fontId="20" fillId="3" borderId="5" xfId="0" applyFont="1" applyFill="1" applyBorder="1" applyAlignment="1">
      <alignment vertical="top" wrapText="1"/>
    </xf>
    <xf numFmtId="0" fontId="16" fillId="0" borderId="5" xfId="6" applyFont="1" applyBorder="1" applyAlignment="1">
      <alignment horizontal="center" vertical="center" wrapText="1"/>
    </xf>
    <xf numFmtId="0" fontId="16" fillId="0" borderId="23" xfId="6" applyFont="1" applyBorder="1" applyAlignment="1">
      <alignment horizontal="center" vertical="center" wrapText="1"/>
    </xf>
    <xf numFmtId="0" fontId="17" fillId="3" borderId="6" xfId="6" applyFont="1" applyFill="1" applyBorder="1" applyAlignment="1">
      <alignment horizontal="justify" vertical="top" wrapText="1"/>
    </xf>
    <xf numFmtId="164" fontId="17" fillId="3" borderId="6" xfId="3" applyFont="1" applyFill="1" applyBorder="1" applyAlignment="1">
      <alignment horizontal="center" vertical="center"/>
    </xf>
    <xf numFmtId="164" fontId="17" fillId="3" borderId="6" xfId="3" applyFont="1" applyFill="1" applyBorder="1" applyAlignment="1">
      <alignment horizontal="center" vertical="top" wrapText="1"/>
    </xf>
    <xf numFmtId="164" fontId="17" fillId="3" borderId="5" xfId="3" applyFont="1" applyFill="1" applyBorder="1" applyAlignment="1">
      <alignment horizontal="center" vertical="top" wrapText="1"/>
    </xf>
    <xf numFmtId="0" fontId="17" fillId="3" borderId="7" xfId="6" applyFont="1" applyFill="1" applyBorder="1" applyAlignment="1">
      <alignment horizontal="center" vertical="top" wrapText="1"/>
    </xf>
    <xf numFmtId="0" fontId="16" fillId="4" borderId="3" xfId="6" applyFont="1" applyFill="1" applyBorder="1" applyAlignment="1">
      <alignment horizontal="center" vertical="top" wrapText="1"/>
    </xf>
    <xf numFmtId="0" fontId="17" fillId="3" borderId="3" xfId="6" applyFont="1" applyFill="1" applyBorder="1" applyAlignment="1">
      <alignment horizontal="left" vertical="top" wrapText="1"/>
    </xf>
    <xf numFmtId="0" fontId="16" fillId="4" borderId="5" xfId="6" applyFont="1" applyFill="1" applyBorder="1" applyAlignment="1">
      <alignment horizontal="center" vertical="top" wrapText="1"/>
    </xf>
    <xf numFmtId="0" fontId="16" fillId="4" borderId="3" xfId="6" applyFont="1" applyFill="1" applyBorder="1" applyAlignment="1">
      <alignment horizontal="center" vertical="center" wrapText="1"/>
    </xf>
    <xf numFmtId="0" fontId="16" fillId="4" borderId="5" xfId="6" applyFont="1" applyFill="1" applyBorder="1" applyAlignment="1">
      <alignment horizontal="center" vertical="center" wrapText="1"/>
    </xf>
    <xf numFmtId="164" fontId="16" fillId="4" borderId="5" xfId="3" applyFont="1" applyFill="1" applyBorder="1" applyAlignment="1">
      <alignment horizontal="center" vertical="top" wrapText="1"/>
    </xf>
    <xf numFmtId="164" fontId="16" fillId="4" borderId="6" xfId="3" applyFont="1" applyFill="1" applyBorder="1" applyAlignment="1">
      <alignment horizontal="center" vertical="top" wrapText="1"/>
    </xf>
    <xf numFmtId="0" fontId="17" fillId="3" borderId="3" xfId="6" applyFont="1" applyFill="1" applyBorder="1" applyAlignment="1">
      <alignment horizontal="justify" vertical="top" wrapText="1"/>
    </xf>
    <xf numFmtId="0" fontId="17" fillId="3" borderId="20" xfId="6" applyFont="1" applyFill="1" applyBorder="1" applyAlignment="1">
      <alignment horizontal="center" vertical="top" wrapText="1"/>
    </xf>
    <xf numFmtId="164" fontId="22" fillId="4" borderId="3" xfId="6" applyNumberFormat="1" applyFont="1" applyFill="1" applyBorder="1" applyAlignment="1">
      <alignment horizontal="center" vertical="top" wrapText="1"/>
    </xf>
    <xf numFmtId="164" fontId="16" fillId="4" borderId="3" xfId="6" applyNumberFormat="1" applyFont="1" applyFill="1" applyBorder="1" applyAlignment="1">
      <alignment horizontal="center" vertical="top" wrapText="1"/>
    </xf>
    <xf numFmtId="164" fontId="22" fillId="4" borderId="6" xfId="6" applyNumberFormat="1" applyFont="1" applyFill="1" applyBorder="1" applyAlignment="1">
      <alignment horizontal="center" vertical="top" wrapText="1"/>
    </xf>
    <xf numFmtId="164" fontId="22" fillId="4" borderId="5" xfId="6" applyNumberFormat="1" applyFont="1" applyFill="1" applyBorder="1" applyAlignment="1">
      <alignment horizontal="center" vertical="top" wrapText="1"/>
    </xf>
    <xf numFmtId="164" fontId="17" fillId="3" borderId="3" xfId="6" applyNumberFormat="1" applyFont="1" applyFill="1" applyBorder="1" applyAlignment="1">
      <alignment horizontal="center" vertical="top" wrapText="1"/>
    </xf>
    <xf numFmtId="164" fontId="17" fillId="3" borderId="5" xfId="6" applyNumberFormat="1" applyFont="1" applyFill="1" applyBorder="1" applyAlignment="1">
      <alignment horizontal="center" vertical="top" wrapText="1"/>
    </xf>
    <xf numFmtId="0" fontId="17" fillId="3" borderId="6" xfId="6" applyFont="1" applyFill="1" applyBorder="1" applyAlignment="1">
      <alignment horizontal="center" vertical="center" wrapText="1"/>
    </xf>
    <xf numFmtId="0" fontId="17" fillId="3" borderId="5" xfId="6" applyFont="1" applyFill="1" applyBorder="1" applyAlignment="1">
      <alignment horizontal="center" vertical="center" wrapText="1"/>
    </xf>
    <xf numFmtId="164" fontId="17" fillId="3" borderId="6" xfId="6" applyNumberFormat="1" applyFont="1" applyFill="1" applyBorder="1" applyAlignment="1">
      <alignment horizontal="center" vertical="top" wrapText="1"/>
    </xf>
    <xf numFmtId="164" fontId="16" fillId="4" borderId="5" xfId="6" applyNumberFormat="1" applyFont="1" applyFill="1" applyBorder="1" applyAlignment="1">
      <alignment horizontal="center" vertical="top" wrapText="1"/>
    </xf>
    <xf numFmtId="0" fontId="17" fillId="3" borderId="6" xfId="6" applyFont="1" applyFill="1" applyBorder="1" applyAlignment="1">
      <alignment vertical="top" wrapText="1"/>
    </xf>
    <xf numFmtId="0" fontId="17" fillId="3" borderId="5" xfId="6" applyFont="1" applyFill="1" applyBorder="1" applyAlignment="1">
      <alignment vertical="top" wrapText="1"/>
    </xf>
    <xf numFmtId="164" fontId="16" fillId="4" borderId="6" xfId="6" applyNumberFormat="1" applyFont="1" applyFill="1" applyBorder="1" applyAlignment="1">
      <alignment horizontal="center" vertical="top" wrapText="1"/>
    </xf>
    <xf numFmtId="164" fontId="22" fillId="3" borderId="5" xfId="6" applyNumberFormat="1" applyFont="1" applyFill="1" applyBorder="1" applyAlignment="1">
      <alignment horizontal="center" vertical="top" wrapText="1"/>
    </xf>
    <xf numFmtId="164" fontId="17" fillId="3" borderId="6" xfId="3" applyFont="1" applyFill="1" applyBorder="1" applyAlignment="1">
      <alignment horizontal="center" vertical="top"/>
    </xf>
    <xf numFmtId="164" fontId="17" fillId="3" borderId="5" xfId="3" applyFont="1" applyFill="1" applyBorder="1" applyAlignment="1">
      <alignment horizontal="center" vertical="top"/>
    </xf>
    <xf numFmtId="0" fontId="17" fillId="3" borderId="3" xfId="6" applyFont="1" applyFill="1" applyBorder="1" applyAlignment="1">
      <alignment horizontal="center" vertical="center" wrapText="1"/>
    </xf>
    <xf numFmtId="0" fontId="22" fillId="4" borderId="6" xfId="6" applyFont="1" applyFill="1" applyBorder="1" applyAlignment="1">
      <alignment horizontal="center" vertical="top" wrapText="1"/>
    </xf>
    <xf numFmtId="0" fontId="16" fillId="2" borderId="21" xfId="6" applyFont="1" applyFill="1" applyBorder="1" applyAlignment="1">
      <alignment horizontal="justify" vertical="top" wrapText="1"/>
    </xf>
    <xf numFmtId="0" fontId="16" fillId="2" borderId="3" xfId="6" applyFont="1" applyFill="1" applyBorder="1" applyAlignment="1">
      <alignment horizontal="justify" vertical="top" wrapText="1"/>
    </xf>
    <xf numFmtId="0" fontId="16" fillId="2" borderId="3" xfId="6" applyFont="1" applyFill="1" applyBorder="1" applyAlignment="1">
      <alignment horizontal="center" vertical="top" wrapText="1"/>
    </xf>
    <xf numFmtId="164" fontId="16" fillId="4" borderId="6" xfId="6" applyNumberFormat="1" applyFont="1" applyFill="1" applyBorder="1" applyAlignment="1">
      <alignment horizontal="right" vertical="top"/>
    </xf>
    <xf numFmtId="3" fontId="17" fillId="3" borderId="6" xfId="6" applyNumberFormat="1" applyFont="1" applyFill="1" applyBorder="1" applyAlignment="1">
      <alignment horizontal="right" vertical="top"/>
    </xf>
    <xf numFmtId="3" fontId="17" fillId="3" borderId="5" xfId="6" applyNumberFormat="1" applyFont="1" applyFill="1" applyBorder="1" applyAlignment="1">
      <alignment horizontal="right" vertical="top"/>
    </xf>
    <xf numFmtId="41" fontId="17" fillId="3" borderId="6" xfId="6" applyNumberFormat="1" applyFont="1" applyFill="1" applyBorder="1" applyAlignment="1">
      <alignment horizontal="right" vertical="top" wrapText="1"/>
    </xf>
    <xf numFmtId="164" fontId="17" fillId="3" borderId="6" xfId="6" applyNumberFormat="1" applyFont="1" applyFill="1" applyBorder="1" applyAlignment="1">
      <alignment horizontal="right" vertical="top"/>
    </xf>
    <xf numFmtId="164" fontId="17" fillId="3" borderId="3" xfId="6" applyNumberFormat="1" applyFont="1" applyFill="1" applyBorder="1" applyAlignment="1">
      <alignment horizontal="right" vertical="top"/>
    </xf>
    <xf numFmtId="3" fontId="17" fillId="3" borderId="3" xfId="6" applyNumberFormat="1" applyFont="1" applyFill="1" applyBorder="1" applyAlignment="1">
      <alignment horizontal="right" vertical="top"/>
    </xf>
    <xf numFmtId="164" fontId="17" fillId="3" borderId="6" xfId="6" applyNumberFormat="1" applyFont="1" applyFill="1" applyBorder="1" applyAlignment="1">
      <alignment horizontal="right" vertical="top" wrapText="1"/>
    </xf>
    <xf numFmtId="164" fontId="17" fillId="3" borderId="3" xfId="6" applyNumberFormat="1" applyFont="1" applyFill="1" applyBorder="1" applyAlignment="1">
      <alignment horizontal="right" vertical="top" wrapText="1"/>
    </xf>
    <xf numFmtId="164" fontId="22" fillId="4" borderId="6" xfId="3" applyFont="1" applyFill="1" applyBorder="1" applyAlignment="1">
      <alignment horizontal="center" vertical="top" wrapText="1"/>
    </xf>
    <xf numFmtId="164" fontId="22" fillId="4" borderId="5" xfId="3" applyFont="1" applyFill="1" applyBorder="1" applyAlignment="1">
      <alignment horizontal="center" vertical="top" wrapText="1"/>
    </xf>
    <xf numFmtId="0" fontId="21" fillId="3" borderId="5" xfId="6" applyFont="1" applyFill="1" applyBorder="1" applyAlignment="1">
      <alignment horizontal="center" vertical="top" wrapText="1"/>
    </xf>
    <xf numFmtId="164" fontId="21" fillId="3" borderId="6" xfId="3" applyFont="1" applyFill="1" applyBorder="1" applyAlignment="1">
      <alignment horizontal="center" vertical="top" wrapText="1"/>
    </xf>
    <xf numFmtId="164" fontId="21" fillId="3" borderId="3" xfId="3" applyFont="1" applyFill="1" applyBorder="1" applyAlignment="1">
      <alignment horizontal="center" vertical="top" wrapText="1"/>
    </xf>
    <xf numFmtId="0" fontId="16" fillId="4" borderId="20" xfId="6" applyFont="1" applyFill="1" applyBorder="1" applyAlignment="1">
      <alignment horizontal="center" vertical="top" wrapText="1"/>
    </xf>
    <xf numFmtId="0" fontId="22" fillId="4" borderId="5" xfId="6" applyFont="1" applyFill="1" applyBorder="1" applyAlignment="1">
      <alignment horizontal="center" vertical="top" wrapText="1"/>
    </xf>
    <xf numFmtId="164" fontId="17" fillId="3" borderId="3" xfId="3" applyFont="1" applyFill="1" applyBorder="1" applyAlignment="1">
      <alignment horizontal="center" vertical="top"/>
    </xf>
    <xf numFmtId="0" fontId="26" fillId="0" borderId="0" xfId="0" applyFont="1"/>
    <xf numFmtId="0" fontId="20" fillId="0" borderId="0" xfId="0" applyFont="1"/>
    <xf numFmtId="164" fontId="16" fillId="4" borderId="6" xfId="6" applyNumberFormat="1" applyFont="1" applyFill="1" applyBorder="1" applyAlignment="1">
      <alignment horizontal="left" vertical="top" wrapText="1"/>
    </xf>
    <xf numFmtId="164" fontId="16" fillId="3" borderId="3" xfId="6" applyNumberFormat="1" applyFont="1" applyFill="1" applyBorder="1" applyAlignment="1">
      <alignment horizontal="right" vertical="top" wrapText="1"/>
    </xf>
    <xf numFmtId="164" fontId="16" fillId="4" borderId="11" xfId="6" applyNumberFormat="1" applyFont="1" applyFill="1" applyBorder="1" applyAlignment="1">
      <alignment horizontal="right" vertical="top" wrapText="1"/>
    </xf>
    <xf numFmtId="166" fontId="16" fillId="2" borderId="28" xfId="4" applyNumberFormat="1" applyFont="1" applyFill="1" applyBorder="1" applyAlignment="1">
      <alignment horizontal="center" vertical="top" wrapText="1"/>
    </xf>
    <xf numFmtId="166" fontId="16" fillId="2" borderId="28" xfId="6" applyNumberFormat="1" applyFont="1" applyFill="1" applyBorder="1" applyAlignment="1">
      <alignment horizontal="right" vertical="top" wrapText="1"/>
    </xf>
    <xf numFmtId="166" fontId="16" fillId="2" borderId="28" xfId="4" applyNumberFormat="1" applyFont="1" applyFill="1" applyBorder="1" applyAlignment="1">
      <alignment horizontal="right" vertical="top" wrapText="1"/>
    </xf>
    <xf numFmtId="166" fontId="16" fillId="2" borderId="28" xfId="6" quotePrefix="1" applyNumberFormat="1" applyFont="1" applyFill="1" applyBorder="1" applyAlignment="1">
      <alignment horizontal="center" vertical="top" wrapText="1"/>
    </xf>
    <xf numFmtId="166" fontId="16" fillId="2" borderId="28" xfId="6" quotePrefix="1" applyNumberFormat="1" applyFont="1" applyFill="1" applyBorder="1" applyAlignment="1">
      <alignment horizontal="right" vertical="top" wrapText="1"/>
    </xf>
    <xf numFmtId="164" fontId="16" fillId="2" borderId="7" xfId="6" quotePrefix="1" applyNumberFormat="1" applyFont="1" applyFill="1" applyBorder="1" applyAlignment="1">
      <alignment horizontal="right" vertical="top" wrapText="1"/>
    </xf>
    <xf numFmtId="10" fontId="16" fillId="2" borderId="20" xfId="6" applyNumberFormat="1" applyFont="1" applyFill="1" applyBorder="1" applyAlignment="1">
      <alignment horizontal="center" vertical="top" wrapText="1"/>
    </xf>
    <xf numFmtId="10" fontId="16" fillId="2" borderId="20" xfId="3" applyNumberFormat="1" applyFont="1" applyFill="1" applyBorder="1" applyAlignment="1">
      <alignment horizontal="right" vertical="top"/>
    </xf>
    <xf numFmtId="9" fontId="16" fillId="2" borderId="23" xfId="6" quotePrefix="1" applyNumberFormat="1" applyFont="1" applyFill="1" applyBorder="1" applyAlignment="1">
      <alignment horizontal="right" vertical="top" wrapText="1"/>
    </xf>
    <xf numFmtId="164" fontId="22" fillId="4" borderId="6" xfId="6" quotePrefix="1" applyNumberFormat="1" applyFont="1" applyFill="1" applyBorder="1" applyAlignment="1">
      <alignment horizontal="center" vertical="top" wrapText="1"/>
    </xf>
    <xf numFmtId="172" fontId="22" fillId="4" borderId="3" xfId="6" applyNumberFormat="1" applyFont="1" applyFill="1" applyBorder="1" applyAlignment="1">
      <alignment horizontal="right" vertical="top" wrapText="1"/>
    </xf>
    <xf numFmtId="165" fontId="17" fillId="3" borderId="6" xfId="3" applyNumberFormat="1" applyFont="1" applyFill="1" applyBorder="1" applyAlignment="1">
      <alignment horizontal="center" vertical="top"/>
    </xf>
    <xf numFmtId="165" fontId="17" fillId="3" borderId="6" xfId="3" applyNumberFormat="1" applyFont="1" applyFill="1" applyBorder="1" applyAlignment="1">
      <alignment horizontal="right" vertical="top"/>
    </xf>
    <xf numFmtId="165" fontId="22" fillId="4" borderId="6" xfId="6" applyNumberFormat="1" applyFont="1" applyFill="1" applyBorder="1" applyAlignment="1">
      <alignment horizontal="center" vertical="top" wrapText="1"/>
    </xf>
    <xf numFmtId="9" fontId="16" fillId="2" borderId="5" xfId="6" applyNumberFormat="1" applyFont="1" applyFill="1" applyBorder="1" applyAlignment="1">
      <alignment horizontal="right" vertical="top"/>
    </xf>
    <xf numFmtId="173" fontId="22" fillId="2" borderId="30" xfId="6" applyNumberFormat="1" applyFont="1" applyFill="1" applyBorder="1" applyAlignment="1">
      <alignment horizontal="center" vertical="top"/>
    </xf>
    <xf numFmtId="173" fontId="22" fillId="2" borderId="30" xfId="6" applyNumberFormat="1" applyFont="1" applyFill="1" applyBorder="1" applyAlignment="1">
      <alignment horizontal="right" vertical="top"/>
    </xf>
    <xf numFmtId="10" fontId="16" fillId="2" borderId="23" xfId="4" applyNumberFormat="1" applyFont="1" applyFill="1" applyBorder="1" applyAlignment="1">
      <alignment horizontal="right" vertical="top" wrapText="1"/>
    </xf>
    <xf numFmtId="9" fontId="16" fillId="4" borderId="3" xfId="3" applyNumberFormat="1" applyFont="1" applyFill="1" applyBorder="1" applyAlignment="1">
      <alignment horizontal="center" vertical="center" wrapText="1"/>
    </xf>
    <xf numFmtId="9" fontId="16" fillId="4" borderId="3" xfId="3" applyNumberFormat="1" applyFont="1" applyFill="1" applyBorder="1" applyAlignment="1">
      <alignment horizontal="center" vertical="top" wrapText="1"/>
    </xf>
    <xf numFmtId="9" fontId="16" fillId="2" borderId="23" xfId="4" applyFont="1" applyFill="1" applyBorder="1" applyAlignment="1">
      <alignment horizontal="right" vertical="top" wrapText="1"/>
    </xf>
    <xf numFmtId="41" fontId="17" fillId="3" borderId="5" xfId="6" applyNumberFormat="1" applyFont="1" applyFill="1" applyBorder="1" applyAlignment="1">
      <alignment horizontal="right" vertical="top" wrapText="1"/>
    </xf>
    <xf numFmtId="164" fontId="22" fillId="3" borderId="3" xfId="6" applyNumberFormat="1" applyFont="1" applyFill="1" applyBorder="1" applyAlignment="1">
      <alignment horizontal="center" vertical="top" wrapText="1"/>
    </xf>
    <xf numFmtId="164" fontId="17" fillId="3" borderId="6" xfId="3" applyFont="1" applyFill="1" applyBorder="1" applyAlignment="1">
      <alignment vertical="top" wrapText="1"/>
    </xf>
    <xf numFmtId="164" fontId="17" fillId="3" borderId="5" xfId="3" applyFont="1" applyFill="1" applyBorder="1" applyAlignment="1">
      <alignment vertical="top" wrapText="1"/>
    </xf>
    <xf numFmtId="164" fontId="17" fillId="3" borderId="3" xfId="6" applyNumberFormat="1" applyFont="1" applyFill="1" applyBorder="1" applyAlignment="1">
      <alignment vertical="top" wrapText="1"/>
    </xf>
    <xf numFmtId="164" fontId="16" fillId="3" borderId="3" xfId="6" applyNumberFormat="1" applyFont="1" applyFill="1" applyBorder="1" applyAlignment="1">
      <alignment vertical="top" wrapText="1"/>
    </xf>
    <xf numFmtId="164" fontId="16" fillId="3" borderId="5" xfId="6" applyNumberFormat="1" applyFont="1" applyFill="1" applyBorder="1" applyAlignment="1">
      <alignment horizontal="right" vertical="top" wrapText="1"/>
    </xf>
    <xf numFmtId="169" fontId="17" fillId="3" borderId="6" xfId="6" applyNumberFormat="1" applyFont="1" applyFill="1" applyBorder="1" applyAlignment="1">
      <alignment horizontal="right" vertical="top" wrapText="1"/>
    </xf>
    <xf numFmtId="169" fontId="17" fillId="3" borderId="5" xfId="6" applyNumberFormat="1" applyFont="1" applyFill="1" applyBorder="1" applyAlignment="1">
      <alignment horizontal="right" vertical="top" wrapText="1"/>
    </xf>
    <xf numFmtId="169" fontId="17" fillId="3" borderId="3" xfId="6" applyNumberFormat="1" applyFont="1" applyFill="1" applyBorder="1" applyAlignment="1">
      <alignment horizontal="right" vertical="top" wrapText="1"/>
    </xf>
    <xf numFmtId="164" fontId="16" fillId="3" borderId="3" xfId="6" applyNumberFormat="1" applyFont="1" applyFill="1" applyBorder="1" applyAlignment="1">
      <alignment horizontal="left" vertical="top" wrapText="1"/>
    </xf>
    <xf numFmtId="164" fontId="17" fillId="3" borderId="3" xfId="3" applyFont="1" applyFill="1" applyBorder="1" applyAlignment="1">
      <alignment vertical="top" wrapText="1"/>
    </xf>
    <xf numFmtId="165" fontId="17" fillId="3" borderId="6" xfId="6" quotePrefix="1" applyNumberFormat="1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/>
    </xf>
    <xf numFmtId="164" fontId="19" fillId="4" borderId="0" xfId="0" applyNumberFormat="1" applyFont="1" applyFill="1" applyAlignment="1">
      <alignment horizontal="center" vertical="top"/>
    </xf>
    <xf numFmtId="0" fontId="19" fillId="4" borderId="0" xfId="0" applyFont="1" applyFill="1" applyAlignment="1">
      <alignment horizontal="center" vertical="top"/>
    </xf>
    <xf numFmtId="0" fontId="20" fillId="3" borderId="0" xfId="0" applyFont="1" applyFill="1" applyAlignment="1">
      <alignment horizontal="center"/>
    </xf>
    <xf numFmtId="0" fontId="16" fillId="0" borderId="0" xfId="6" applyFont="1" applyAlignment="1">
      <alignment horizontal="left" vertical="top" wrapText="1"/>
    </xf>
    <xf numFmtId="9" fontId="16" fillId="2" borderId="0" xfId="6" applyNumberFormat="1" applyFont="1" applyFill="1" applyAlignment="1">
      <alignment horizontal="right" vertical="top"/>
    </xf>
    <xf numFmtId="0" fontId="16" fillId="0" borderId="0" xfId="6" applyFont="1" applyAlignment="1">
      <alignment horizontal="left" vertical="top"/>
    </xf>
    <xf numFmtId="0" fontId="16" fillId="3" borderId="0" xfId="6" applyFont="1" applyFill="1" applyAlignment="1">
      <alignment horizontal="left" vertical="top"/>
    </xf>
    <xf numFmtId="0" fontId="16" fillId="3" borderId="29" xfId="6" applyFont="1" applyFill="1" applyBorder="1" applyAlignment="1">
      <alignment vertical="center"/>
    </xf>
    <xf numFmtId="0" fontId="17" fillId="3" borderId="29" xfId="6" applyFont="1" applyFill="1" applyBorder="1" applyAlignment="1">
      <alignment vertical="center"/>
    </xf>
    <xf numFmtId="39" fontId="17" fillId="3" borderId="7" xfId="3" applyNumberFormat="1" applyFont="1" applyFill="1" applyBorder="1" applyAlignment="1">
      <alignment horizontal="right" vertical="top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justify" wrapText="1"/>
    </xf>
    <xf numFmtId="0" fontId="7" fillId="0" borderId="10" xfId="0" applyFont="1" applyBorder="1" applyAlignment="1">
      <alignment horizontal="center" vertical="justify" wrapText="1"/>
    </xf>
    <xf numFmtId="0" fontId="2" fillId="0" borderId="3" xfId="0" applyFont="1" applyBorder="1" applyAlignment="1">
      <alignment horizontal="justify" vertical="justify" wrapText="1"/>
    </xf>
    <xf numFmtId="0" fontId="8" fillId="0" borderId="3" xfId="0" applyFont="1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2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3" xfId="0" applyFont="1" applyBorder="1" applyAlignment="1">
      <alignment horizontal="justify" vertical="justify" wrapText="1"/>
    </xf>
    <xf numFmtId="0" fontId="7" fillId="0" borderId="5" xfId="0" applyFont="1" applyBorder="1" applyAlignment="1">
      <alignment horizontal="justify" vertical="justify" wrapText="1"/>
    </xf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 vertical="justify" wrapText="1"/>
    </xf>
    <xf numFmtId="0" fontId="2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justify" vertical="top" wrapText="1"/>
    </xf>
    <xf numFmtId="0" fontId="7" fillId="0" borderId="1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8" fillId="0" borderId="3" xfId="0" applyFont="1" applyBorder="1" applyAlignment="1">
      <alignment horizontal="left" vertical="justify" wrapText="1"/>
    </xf>
    <xf numFmtId="0" fontId="2" fillId="0" borderId="3" xfId="0" quotePrefix="1" applyFont="1" applyBorder="1" applyAlignment="1">
      <alignment horizontal="justify" vertical="justify" wrapText="1"/>
    </xf>
    <xf numFmtId="9" fontId="2" fillId="0" borderId="3" xfId="0" applyNumberFormat="1" applyFont="1" applyBorder="1" applyAlignment="1">
      <alignment horizontal="justify" vertical="justify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justify" vertical="top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6" fillId="3" borderId="18" xfId="6" applyFont="1" applyFill="1" applyBorder="1" applyAlignment="1">
      <alignment horizontal="center" vertical="center"/>
    </xf>
    <xf numFmtId="0" fontId="16" fillId="3" borderId="19" xfId="6" applyFont="1" applyFill="1" applyBorder="1" applyAlignment="1">
      <alignment horizontal="center" vertical="center"/>
    </xf>
    <xf numFmtId="0" fontId="16" fillId="3" borderId="31" xfId="6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21" xfId="6" applyFont="1" applyBorder="1" applyAlignment="1">
      <alignment horizontal="center" vertical="center" wrapText="1"/>
    </xf>
    <xf numFmtId="0" fontId="16" fillId="0" borderId="3" xfId="6" applyFont="1" applyBorder="1" applyAlignment="1">
      <alignment horizontal="center" vertical="center" wrapText="1"/>
    </xf>
    <xf numFmtId="0" fontId="16" fillId="0" borderId="5" xfId="6" applyFont="1" applyBorder="1" applyAlignment="1">
      <alignment horizontal="center" vertical="center" wrapText="1"/>
    </xf>
    <xf numFmtId="0" fontId="16" fillId="0" borderId="20" xfId="6" applyFont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0" borderId="17" xfId="6" applyFont="1" applyBorder="1" applyAlignment="1">
      <alignment horizontal="center" vertical="center" wrapText="1"/>
    </xf>
    <xf numFmtId="0" fontId="16" fillId="0" borderId="7" xfId="6" applyFont="1" applyBorder="1" applyAlignment="1">
      <alignment horizontal="center" vertical="center" wrapText="1"/>
    </xf>
    <xf numFmtId="0" fontId="16" fillId="0" borderId="23" xfId="6" applyFont="1" applyBorder="1" applyAlignment="1">
      <alignment horizontal="center" vertical="center" wrapText="1"/>
    </xf>
    <xf numFmtId="0" fontId="16" fillId="3" borderId="10" xfId="6" applyFont="1" applyFill="1" applyBorder="1" applyAlignment="1">
      <alignment horizontal="center" vertical="center"/>
    </xf>
    <xf numFmtId="0" fontId="16" fillId="3" borderId="4" xfId="6" applyFont="1" applyFill="1" applyBorder="1" applyAlignment="1">
      <alignment horizontal="center" vertical="center"/>
    </xf>
    <xf numFmtId="0" fontId="16" fillId="3" borderId="16" xfId="6" applyFont="1" applyFill="1" applyBorder="1" applyAlignment="1">
      <alignment horizontal="center" vertical="center"/>
    </xf>
    <xf numFmtId="0" fontId="16" fillId="3" borderId="2" xfId="6" applyFont="1" applyFill="1" applyBorder="1" applyAlignment="1">
      <alignment horizontal="center" vertical="center"/>
    </xf>
    <xf numFmtId="0" fontId="16" fillId="3" borderId="10" xfId="6" applyFont="1" applyFill="1" applyBorder="1" applyAlignment="1">
      <alignment horizontal="center" vertical="center" wrapText="1"/>
    </xf>
    <xf numFmtId="0" fontId="16" fillId="3" borderId="4" xfId="6" applyFont="1" applyFill="1" applyBorder="1" applyAlignment="1">
      <alignment horizontal="center" vertical="center" wrapText="1"/>
    </xf>
    <xf numFmtId="0" fontId="16" fillId="3" borderId="16" xfId="6" applyFont="1" applyFill="1" applyBorder="1" applyAlignment="1">
      <alignment horizontal="center" vertical="center" wrapText="1"/>
    </xf>
    <xf numFmtId="0" fontId="16" fillId="3" borderId="2" xfId="6" applyFont="1" applyFill="1" applyBorder="1" applyAlignment="1">
      <alignment horizontal="center" vertical="center" wrapText="1"/>
    </xf>
    <xf numFmtId="0" fontId="16" fillId="4" borderId="7" xfId="6" applyFont="1" applyFill="1" applyBorder="1" applyAlignment="1">
      <alignment horizontal="center" vertical="top" wrapText="1"/>
    </xf>
    <xf numFmtId="0" fontId="17" fillId="3" borderId="6" xfId="6" applyFont="1" applyFill="1" applyBorder="1" applyAlignment="1">
      <alignment horizontal="justify" vertical="top" wrapText="1"/>
    </xf>
    <xf numFmtId="0" fontId="17" fillId="3" borderId="5" xfId="6" applyFont="1" applyFill="1" applyBorder="1" applyAlignment="1">
      <alignment horizontal="justify" vertical="top" wrapText="1"/>
    </xf>
    <xf numFmtId="0" fontId="17" fillId="3" borderId="6" xfId="6" applyFont="1" applyFill="1" applyBorder="1" applyAlignment="1">
      <alignment horizontal="center" vertical="top" wrapText="1"/>
    </xf>
    <xf numFmtId="0" fontId="17" fillId="3" borderId="5" xfId="6" applyFont="1" applyFill="1" applyBorder="1" applyAlignment="1">
      <alignment horizontal="center" vertical="top" wrapText="1"/>
    </xf>
    <xf numFmtId="164" fontId="17" fillId="3" borderId="6" xfId="3" applyFont="1" applyFill="1" applyBorder="1" applyAlignment="1">
      <alignment horizontal="center" vertical="center"/>
    </xf>
    <xf numFmtId="164" fontId="17" fillId="3" borderId="5" xfId="3" applyFont="1" applyFill="1" applyBorder="1" applyAlignment="1">
      <alignment horizontal="center" vertical="center"/>
    </xf>
    <xf numFmtId="164" fontId="17" fillId="3" borderId="6" xfId="3" applyFont="1" applyFill="1" applyBorder="1" applyAlignment="1">
      <alignment horizontal="center" vertical="top" wrapText="1"/>
    </xf>
    <xf numFmtId="164" fontId="17" fillId="3" borderId="5" xfId="3" applyFont="1" applyFill="1" applyBorder="1" applyAlignment="1">
      <alignment horizontal="center" vertical="top" wrapText="1"/>
    </xf>
    <xf numFmtId="0" fontId="17" fillId="3" borderId="7" xfId="6" applyFont="1" applyFill="1" applyBorder="1" applyAlignment="1">
      <alignment horizontal="center" vertical="top" wrapText="1"/>
    </xf>
    <xf numFmtId="0" fontId="16" fillId="0" borderId="16" xfId="6" applyFont="1" applyBorder="1" applyAlignment="1">
      <alignment horizontal="center" vertical="center" wrapText="1"/>
    </xf>
    <xf numFmtId="0" fontId="16" fillId="0" borderId="2" xfId="6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4" borderId="6" xfId="6" applyFont="1" applyFill="1" applyBorder="1" applyAlignment="1">
      <alignment horizontal="left" vertical="top" wrapText="1"/>
    </xf>
    <xf numFmtId="0" fontId="16" fillId="4" borderId="5" xfId="6" applyFont="1" applyFill="1" applyBorder="1" applyAlignment="1">
      <alignment horizontal="left" vertical="top" wrapText="1"/>
    </xf>
    <xf numFmtId="0" fontId="19" fillId="0" borderId="1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4" borderId="6" xfId="6" applyFont="1" applyFill="1" applyBorder="1" applyAlignment="1">
      <alignment horizontal="justify" vertical="top" wrapText="1"/>
    </xf>
    <xf numFmtId="0" fontId="16" fillId="4" borderId="3" xfId="6" applyFont="1" applyFill="1" applyBorder="1" applyAlignment="1">
      <alignment horizontal="justify" vertical="top" wrapText="1"/>
    </xf>
    <xf numFmtId="9" fontId="16" fillId="4" borderId="6" xfId="6" applyNumberFormat="1" applyFont="1" applyFill="1" applyBorder="1" applyAlignment="1">
      <alignment horizontal="center" vertical="center"/>
    </xf>
    <xf numFmtId="9" fontId="16" fillId="4" borderId="3" xfId="6" applyNumberFormat="1" applyFont="1" applyFill="1" applyBorder="1" applyAlignment="1">
      <alignment horizontal="center" vertical="center"/>
    </xf>
    <xf numFmtId="0" fontId="16" fillId="4" borderId="6" xfId="6" applyFont="1" applyFill="1" applyBorder="1" applyAlignment="1">
      <alignment horizontal="center" vertical="top" wrapText="1"/>
    </xf>
    <xf numFmtId="0" fontId="16" fillId="4" borderId="3" xfId="6" applyFont="1" applyFill="1" applyBorder="1" applyAlignment="1">
      <alignment horizontal="center" vertical="top" wrapText="1"/>
    </xf>
    <xf numFmtId="0" fontId="17" fillId="3" borderId="6" xfId="6" applyFont="1" applyFill="1" applyBorder="1" applyAlignment="1">
      <alignment horizontal="left" vertical="top" wrapText="1"/>
    </xf>
    <xf numFmtId="0" fontId="17" fillId="3" borderId="5" xfId="6" applyFont="1" applyFill="1" applyBorder="1" applyAlignment="1">
      <alignment horizontal="left" vertical="top" wrapText="1"/>
    </xf>
    <xf numFmtId="0" fontId="17" fillId="3" borderId="3" xfId="6" applyFont="1" applyFill="1" applyBorder="1" applyAlignment="1">
      <alignment horizontal="left" vertical="top" wrapText="1"/>
    </xf>
    <xf numFmtId="0" fontId="16" fillId="4" borderId="3" xfId="6" applyFont="1" applyFill="1" applyBorder="1" applyAlignment="1">
      <alignment horizontal="left" vertical="top" wrapText="1"/>
    </xf>
    <xf numFmtId="0" fontId="16" fillId="4" borderId="5" xfId="6" applyFont="1" applyFill="1" applyBorder="1" applyAlignment="1">
      <alignment horizontal="center" vertical="top" wrapText="1"/>
    </xf>
    <xf numFmtId="0" fontId="16" fillId="3" borderId="5" xfId="6" applyFont="1" applyFill="1" applyBorder="1" applyAlignment="1">
      <alignment horizontal="left" vertical="top" wrapText="1"/>
    </xf>
    <xf numFmtId="0" fontId="17" fillId="3" borderId="3" xfId="6" applyFont="1" applyFill="1" applyBorder="1" applyAlignment="1">
      <alignment horizontal="center" vertical="top" wrapText="1"/>
    </xf>
    <xf numFmtId="0" fontId="16" fillId="4" borderId="5" xfId="6" applyFont="1" applyFill="1" applyBorder="1" applyAlignment="1">
      <alignment horizontal="justify" vertical="top" wrapText="1"/>
    </xf>
    <xf numFmtId="0" fontId="16" fillId="4" borderId="3" xfId="6" applyFont="1" applyFill="1" applyBorder="1" applyAlignment="1">
      <alignment horizontal="center" vertical="center" wrapText="1"/>
    </xf>
    <xf numFmtId="0" fontId="16" fillId="4" borderId="5" xfId="6" applyFont="1" applyFill="1" applyBorder="1" applyAlignment="1">
      <alignment horizontal="center" vertical="center" wrapText="1"/>
    </xf>
    <xf numFmtId="164" fontId="16" fillId="4" borderId="3" xfId="3" applyFont="1" applyFill="1" applyBorder="1" applyAlignment="1">
      <alignment horizontal="center" vertical="top" wrapText="1"/>
    </xf>
    <xf numFmtId="164" fontId="16" fillId="4" borderId="5" xfId="3" applyFont="1" applyFill="1" applyBorder="1" applyAlignment="1">
      <alignment horizontal="center" vertical="top" wrapText="1"/>
    </xf>
    <xf numFmtId="164" fontId="16" fillId="4" borderId="6" xfId="3" applyFont="1" applyFill="1" applyBorder="1" applyAlignment="1">
      <alignment horizontal="center" vertical="top" wrapText="1"/>
    </xf>
    <xf numFmtId="9" fontId="16" fillId="4" borderId="6" xfId="6" applyNumberFormat="1" applyFont="1" applyFill="1" applyBorder="1" applyAlignment="1">
      <alignment horizontal="center" vertical="center" wrapText="1"/>
    </xf>
    <xf numFmtId="9" fontId="16" fillId="4" borderId="5" xfId="6" applyNumberFormat="1" applyFont="1" applyFill="1" applyBorder="1" applyAlignment="1">
      <alignment horizontal="center" vertical="center" wrapText="1"/>
    </xf>
    <xf numFmtId="164" fontId="17" fillId="3" borderId="3" xfId="3" applyFont="1" applyFill="1" applyBorder="1" applyAlignment="1">
      <alignment horizontal="center" vertical="top" wrapText="1"/>
    </xf>
    <xf numFmtId="0" fontId="17" fillId="3" borderId="3" xfId="6" applyFont="1" applyFill="1" applyBorder="1" applyAlignment="1">
      <alignment horizontal="justify" vertical="top" wrapText="1"/>
    </xf>
    <xf numFmtId="0" fontId="17" fillId="3" borderId="21" xfId="6" applyFont="1" applyFill="1" applyBorder="1" applyAlignment="1">
      <alignment horizontal="center" vertical="top" wrapText="1"/>
    </xf>
    <xf numFmtId="0" fontId="17" fillId="3" borderId="20" xfId="6" applyFont="1" applyFill="1" applyBorder="1" applyAlignment="1">
      <alignment horizontal="center" vertical="top" wrapText="1"/>
    </xf>
    <xf numFmtId="164" fontId="22" fillId="4" borderId="21" xfId="6" applyNumberFormat="1" applyFont="1" applyFill="1" applyBorder="1" applyAlignment="1">
      <alignment horizontal="center" vertical="top" wrapText="1"/>
    </xf>
    <xf numFmtId="164" fontId="22" fillId="4" borderId="3" xfId="6" applyNumberFormat="1" applyFont="1" applyFill="1" applyBorder="1" applyAlignment="1">
      <alignment horizontal="center" vertical="top" wrapText="1"/>
    </xf>
    <xf numFmtId="164" fontId="22" fillId="4" borderId="17" xfId="6" applyNumberFormat="1" applyFont="1" applyFill="1" applyBorder="1" applyAlignment="1">
      <alignment horizontal="center" vertical="top" wrapText="1"/>
    </xf>
    <xf numFmtId="164" fontId="22" fillId="4" borderId="7" xfId="6" applyNumberFormat="1" applyFont="1" applyFill="1" applyBorder="1" applyAlignment="1">
      <alignment horizontal="center" vertical="top" wrapText="1"/>
    </xf>
    <xf numFmtId="164" fontId="16" fillId="4" borderId="21" xfId="6" applyNumberFormat="1" applyFont="1" applyFill="1" applyBorder="1" applyAlignment="1">
      <alignment horizontal="center" vertical="top" wrapText="1"/>
    </xf>
    <xf numFmtId="164" fontId="16" fillId="4" borderId="3" xfId="6" applyNumberFormat="1" applyFont="1" applyFill="1" applyBorder="1" applyAlignment="1">
      <alignment horizontal="center" vertical="top" wrapText="1"/>
    </xf>
    <xf numFmtId="164" fontId="21" fillId="3" borderId="7" xfId="6" applyNumberFormat="1" applyFont="1" applyFill="1" applyBorder="1" applyAlignment="1">
      <alignment horizontal="center" vertical="top" wrapText="1"/>
    </xf>
    <xf numFmtId="164" fontId="16" fillId="3" borderId="6" xfId="6" applyNumberFormat="1" applyFont="1" applyFill="1" applyBorder="1" applyAlignment="1">
      <alignment horizontal="center" vertical="top" wrapText="1"/>
    </xf>
    <xf numFmtId="164" fontId="16" fillId="3" borderId="5" xfId="6" applyNumberFormat="1" applyFont="1" applyFill="1" applyBorder="1" applyAlignment="1">
      <alignment horizontal="center" vertical="top" wrapText="1"/>
    </xf>
    <xf numFmtId="0" fontId="22" fillId="4" borderId="21" xfId="6" applyFont="1" applyFill="1" applyBorder="1" applyAlignment="1">
      <alignment horizontal="justify" vertical="top" wrapText="1"/>
    </xf>
    <xf numFmtId="0" fontId="22" fillId="4" borderId="3" xfId="6" applyFont="1" applyFill="1" applyBorder="1" applyAlignment="1">
      <alignment horizontal="justify" vertical="top" wrapText="1"/>
    </xf>
    <xf numFmtId="0" fontId="16" fillId="4" borderId="21" xfId="6" applyFont="1" applyFill="1" applyBorder="1" applyAlignment="1">
      <alignment horizontal="center" vertical="center" wrapText="1"/>
    </xf>
    <xf numFmtId="164" fontId="22" fillId="4" borderId="6" xfId="6" applyNumberFormat="1" applyFont="1" applyFill="1" applyBorder="1" applyAlignment="1">
      <alignment horizontal="center" vertical="top" wrapText="1"/>
    </xf>
    <xf numFmtId="164" fontId="22" fillId="4" borderId="5" xfId="6" applyNumberFormat="1" applyFont="1" applyFill="1" applyBorder="1" applyAlignment="1">
      <alignment horizontal="center" vertical="top" wrapText="1"/>
    </xf>
    <xf numFmtId="164" fontId="17" fillId="3" borderId="3" xfId="6" applyNumberFormat="1" applyFont="1" applyFill="1" applyBorder="1" applyAlignment="1">
      <alignment horizontal="center" vertical="top" wrapText="1"/>
    </xf>
    <xf numFmtId="164" fontId="17" fillId="3" borderId="5" xfId="6" applyNumberFormat="1" applyFont="1" applyFill="1" applyBorder="1" applyAlignment="1">
      <alignment horizontal="center" vertical="top" wrapText="1"/>
    </xf>
    <xf numFmtId="0" fontId="17" fillId="3" borderId="6" xfId="6" applyFont="1" applyFill="1" applyBorder="1" applyAlignment="1">
      <alignment horizontal="center" vertical="center" wrapText="1"/>
    </xf>
    <xf numFmtId="0" fontId="17" fillId="3" borderId="5" xfId="6" applyFont="1" applyFill="1" applyBorder="1" applyAlignment="1">
      <alignment horizontal="center" vertical="center" wrapText="1"/>
    </xf>
    <xf numFmtId="164" fontId="17" fillId="3" borderId="6" xfId="6" applyNumberFormat="1" applyFont="1" applyFill="1" applyBorder="1" applyAlignment="1">
      <alignment horizontal="center" vertical="top" wrapText="1"/>
    </xf>
    <xf numFmtId="0" fontId="16" fillId="4" borderId="21" xfId="6" applyFont="1" applyFill="1" applyBorder="1" applyAlignment="1">
      <alignment horizontal="justify" vertical="top" wrapText="1"/>
    </xf>
    <xf numFmtId="164" fontId="17" fillId="3" borderId="7" xfId="6" applyNumberFormat="1" applyFont="1" applyFill="1" applyBorder="1" applyAlignment="1">
      <alignment horizontal="center" vertical="top" wrapText="1"/>
    </xf>
    <xf numFmtId="164" fontId="16" fillId="4" borderId="5" xfId="6" applyNumberFormat="1" applyFont="1" applyFill="1" applyBorder="1" applyAlignment="1">
      <alignment horizontal="center" vertical="top" wrapText="1"/>
    </xf>
    <xf numFmtId="0" fontId="17" fillId="3" borderId="6" xfId="6" applyFont="1" applyFill="1" applyBorder="1" applyAlignment="1">
      <alignment vertical="top" wrapText="1"/>
    </xf>
    <xf numFmtId="164" fontId="16" fillId="4" borderId="6" xfId="6" applyNumberFormat="1" applyFont="1" applyFill="1" applyBorder="1" applyAlignment="1">
      <alignment horizontal="center" vertical="top" wrapText="1"/>
    </xf>
    <xf numFmtId="0" fontId="17" fillId="3" borderId="20" xfId="6" applyFont="1" applyFill="1" applyBorder="1" applyAlignment="1">
      <alignment horizontal="justify" vertical="top" wrapText="1"/>
    </xf>
    <xf numFmtId="164" fontId="17" fillId="3" borderId="20" xfId="6" applyNumberFormat="1" applyFont="1" applyFill="1" applyBorder="1" applyAlignment="1">
      <alignment horizontal="center" vertical="top" wrapText="1"/>
    </xf>
    <xf numFmtId="0" fontId="22" fillId="4" borderId="5" xfId="6" applyFont="1" applyFill="1" applyBorder="1" applyAlignment="1">
      <alignment horizontal="justify" vertical="top" wrapText="1"/>
    </xf>
    <xf numFmtId="164" fontId="22" fillId="3" borderId="6" xfId="6" applyNumberFormat="1" applyFont="1" applyFill="1" applyBorder="1" applyAlignment="1">
      <alignment horizontal="center" vertical="top" wrapText="1"/>
    </xf>
    <xf numFmtId="164" fontId="22" fillId="3" borderId="5" xfId="6" applyNumberFormat="1" applyFont="1" applyFill="1" applyBorder="1" applyAlignment="1">
      <alignment horizontal="center" vertical="top" wrapText="1"/>
    </xf>
    <xf numFmtId="164" fontId="17" fillId="3" borderId="6" xfId="3" applyFont="1" applyFill="1" applyBorder="1" applyAlignment="1">
      <alignment horizontal="center" vertical="top"/>
    </xf>
    <xf numFmtId="164" fontId="17" fillId="3" borderId="5" xfId="3" applyFont="1" applyFill="1" applyBorder="1" applyAlignment="1">
      <alignment horizontal="center" vertical="top"/>
    </xf>
    <xf numFmtId="0" fontId="17" fillId="3" borderId="3" xfId="6" applyFont="1" applyFill="1" applyBorder="1" applyAlignment="1">
      <alignment horizontal="center" vertical="center" wrapText="1"/>
    </xf>
    <xf numFmtId="0" fontId="22" fillId="4" borderId="21" xfId="6" applyFont="1" applyFill="1" applyBorder="1" applyAlignment="1">
      <alignment horizontal="center" vertical="center" wrapText="1"/>
    </xf>
    <xf numFmtId="0" fontId="22" fillId="4" borderId="5" xfId="6" applyFont="1" applyFill="1" applyBorder="1" applyAlignment="1">
      <alignment horizontal="center" vertical="center" wrapText="1"/>
    </xf>
    <xf numFmtId="0" fontId="22" fillId="4" borderId="6" xfId="6" applyFont="1" applyFill="1" applyBorder="1" applyAlignment="1">
      <alignment horizontal="justify" vertical="top" wrapText="1"/>
    </xf>
    <xf numFmtId="0" fontId="22" fillId="4" borderId="6" xfId="6" applyFont="1" applyFill="1" applyBorder="1" applyAlignment="1">
      <alignment horizontal="center" vertical="center" wrapText="1"/>
    </xf>
    <xf numFmtId="0" fontId="17" fillId="3" borderId="6" xfId="6" quotePrefix="1" applyFont="1" applyFill="1" applyBorder="1" applyAlignment="1">
      <alignment horizontal="left" vertical="top" wrapText="1"/>
    </xf>
    <xf numFmtId="0" fontId="17" fillId="3" borderId="13" xfId="6" applyFont="1" applyFill="1" applyBorder="1" applyAlignment="1">
      <alignment horizontal="center" vertical="top" wrapText="1"/>
    </xf>
    <xf numFmtId="0" fontId="17" fillId="3" borderId="4" xfId="6" applyFont="1" applyFill="1" applyBorder="1" applyAlignment="1">
      <alignment horizontal="center" vertical="top" wrapText="1"/>
    </xf>
    <xf numFmtId="0" fontId="22" fillId="4" borderId="3" xfId="6" applyFont="1" applyFill="1" applyBorder="1" applyAlignment="1">
      <alignment horizontal="center" vertical="center" wrapText="1"/>
    </xf>
    <xf numFmtId="0" fontId="22" fillId="4" borderId="6" xfId="6" applyFont="1" applyFill="1" applyBorder="1" applyAlignment="1">
      <alignment horizontal="center" vertical="top" wrapText="1"/>
    </xf>
    <xf numFmtId="0" fontId="22" fillId="4" borderId="20" xfId="6" applyFont="1" applyFill="1" applyBorder="1" applyAlignment="1">
      <alignment horizontal="center" vertical="top" wrapText="1"/>
    </xf>
    <xf numFmtId="0" fontId="16" fillId="2" borderId="21" xfId="6" applyFont="1" applyFill="1" applyBorder="1" applyAlignment="1">
      <alignment horizontal="justify" vertical="top" wrapText="1"/>
    </xf>
    <xf numFmtId="0" fontId="16" fillId="2" borderId="3" xfId="6" applyFont="1" applyFill="1" applyBorder="1" applyAlignment="1">
      <alignment horizontal="justify" vertical="top" wrapText="1"/>
    </xf>
    <xf numFmtId="0" fontId="16" fillId="2" borderId="21" xfId="6" applyFont="1" applyFill="1" applyBorder="1" applyAlignment="1">
      <alignment horizontal="center" vertical="top" wrapText="1"/>
    </xf>
    <xf numFmtId="0" fontId="16" fillId="2" borderId="3" xfId="6" applyFont="1" applyFill="1" applyBorder="1" applyAlignment="1">
      <alignment horizontal="center" vertical="top" wrapText="1"/>
    </xf>
    <xf numFmtId="0" fontId="16" fillId="2" borderId="6" xfId="6" applyFont="1" applyFill="1" applyBorder="1" applyAlignment="1">
      <alignment horizontal="justify" vertical="top" wrapText="1"/>
    </xf>
    <xf numFmtId="9" fontId="16" fillId="2" borderId="3" xfId="4" applyFont="1" applyFill="1" applyBorder="1" applyAlignment="1">
      <alignment horizontal="center" vertical="top" wrapText="1"/>
    </xf>
    <xf numFmtId="9" fontId="16" fillId="2" borderId="5" xfId="4" applyFont="1" applyFill="1" applyBorder="1" applyAlignment="1">
      <alignment horizontal="center" vertical="top" wrapText="1"/>
    </xf>
    <xf numFmtId="164" fontId="16" fillId="4" borderId="6" xfId="6" applyNumberFormat="1" applyFont="1" applyFill="1" applyBorder="1" applyAlignment="1">
      <alignment horizontal="right" vertical="top"/>
    </xf>
    <xf numFmtId="164" fontId="16" fillId="4" borderId="5" xfId="6" applyNumberFormat="1" applyFont="1" applyFill="1" applyBorder="1" applyAlignment="1">
      <alignment horizontal="right" vertical="top"/>
    </xf>
    <xf numFmtId="3" fontId="16" fillId="4" borderId="6" xfId="6" applyNumberFormat="1" applyFont="1" applyFill="1" applyBorder="1" applyAlignment="1">
      <alignment horizontal="right" vertical="top"/>
    </xf>
    <xf numFmtId="3" fontId="16" fillId="4" borderId="5" xfId="6" applyNumberFormat="1" applyFont="1" applyFill="1" applyBorder="1" applyAlignment="1">
      <alignment horizontal="right" vertical="top"/>
    </xf>
    <xf numFmtId="3" fontId="17" fillId="3" borderId="6" xfId="6" applyNumberFormat="1" applyFont="1" applyFill="1" applyBorder="1" applyAlignment="1">
      <alignment horizontal="right" vertical="top"/>
    </xf>
    <xf numFmtId="3" fontId="17" fillId="3" borderId="5" xfId="6" applyNumberFormat="1" applyFont="1" applyFill="1" applyBorder="1" applyAlignment="1">
      <alignment horizontal="right" vertical="top"/>
    </xf>
    <xf numFmtId="41" fontId="17" fillId="3" borderId="6" xfId="6" applyNumberFormat="1" applyFont="1" applyFill="1" applyBorder="1" applyAlignment="1">
      <alignment horizontal="right" vertical="top" wrapText="1"/>
    </xf>
    <xf numFmtId="41" fontId="17" fillId="3" borderId="3" xfId="6" applyNumberFormat="1" applyFont="1" applyFill="1" applyBorder="1" applyAlignment="1">
      <alignment horizontal="right" vertical="top" wrapText="1"/>
    </xf>
    <xf numFmtId="164" fontId="17" fillId="3" borderId="6" xfId="6" applyNumberFormat="1" applyFont="1" applyFill="1" applyBorder="1" applyAlignment="1">
      <alignment horizontal="right" vertical="top"/>
    </xf>
    <xf numFmtId="164" fontId="17" fillId="3" borderId="3" xfId="6" applyNumberFormat="1" applyFont="1" applyFill="1" applyBorder="1" applyAlignment="1">
      <alignment horizontal="right" vertical="top"/>
    </xf>
    <xf numFmtId="3" fontId="17" fillId="3" borderId="3" xfId="6" applyNumberFormat="1" applyFont="1" applyFill="1" applyBorder="1" applyAlignment="1">
      <alignment horizontal="right" vertical="top"/>
    </xf>
    <xf numFmtId="164" fontId="17" fillId="3" borderId="6" xfId="6" applyNumberFormat="1" applyFont="1" applyFill="1" applyBorder="1" applyAlignment="1">
      <alignment horizontal="right" vertical="top" wrapText="1"/>
    </xf>
    <xf numFmtId="164" fontId="17" fillId="3" borderId="3" xfId="6" applyNumberFormat="1" applyFont="1" applyFill="1" applyBorder="1" applyAlignment="1">
      <alignment horizontal="right" vertical="top" wrapText="1"/>
    </xf>
    <xf numFmtId="164" fontId="22" fillId="4" borderId="6" xfId="3" applyFont="1" applyFill="1" applyBorder="1" applyAlignment="1">
      <alignment horizontal="center" vertical="top" wrapText="1"/>
    </xf>
    <xf numFmtId="164" fontId="22" fillId="4" borderId="5" xfId="3" applyFont="1" applyFill="1" applyBorder="1" applyAlignment="1">
      <alignment horizontal="center" vertical="top" wrapText="1"/>
    </xf>
    <xf numFmtId="0" fontId="21" fillId="3" borderId="6" xfId="6" applyFont="1" applyFill="1" applyBorder="1" applyAlignment="1">
      <alignment horizontal="center" vertical="top" wrapText="1"/>
    </xf>
    <xf numFmtId="0" fontId="21" fillId="3" borderId="5" xfId="6" applyFont="1" applyFill="1" applyBorder="1" applyAlignment="1">
      <alignment horizontal="center" vertical="top" wrapText="1"/>
    </xf>
    <xf numFmtId="164" fontId="21" fillId="3" borderId="6" xfId="3" applyFont="1" applyFill="1" applyBorder="1" applyAlignment="1">
      <alignment horizontal="center" vertical="top" wrapText="1"/>
    </xf>
    <xf numFmtId="164" fontId="21" fillId="3" borderId="3" xfId="3" applyFont="1" applyFill="1" applyBorder="1" applyAlignment="1">
      <alignment horizontal="center" vertical="top" wrapText="1"/>
    </xf>
    <xf numFmtId="0" fontId="16" fillId="4" borderId="20" xfId="6" applyFont="1" applyFill="1" applyBorder="1" applyAlignment="1">
      <alignment horizontal="justify" vertical="top" wrapText="1"/>
    </xf>
    <xf numFmtId="164" fontId="16" fillId="4" borderId="21" xfId="3" applyFont="1" applyFill="1" applyBorder="1" applyAlignment="1">
      <alignment horizontal="center" vertical="top" wrapText="1"/>
    </xf>
    <xf numFmtId="164" fontId="16" fillId="4" borderId="20" xfId="3" applyFont="1" applyFill="1" applyBorder="1" applyAlignment="1">
      <alignment horizontal="center" vertical="top" wrapText="1"/>
    </xf>
    <xf numFmtId="0" fontId="16" fillId="4" borderId="20" xfId="6" applyFont="1" applyFill="1" applyBorder="1" applyAlignment="1">
      <alignment horizontal="center" vertical="top" wrapText="1"/>
    </xf>
    <xf numFmtId="164" fontId="22" fillId="4" borderId="21" xfId="3" applyFont="1" applyFill="1" applyBorder="1" applyAlignment="1">
      <alignment horizontal="center" vertical="top" wrapText="1"/>
    </xf>
    <xf numFmtId="0" fontId="22" fillId="4" borderId="5" xfId="6" applyFont="1" applyFill="1" applyBorder="1" applyAlignment="1">
      <alignment horizontal="center" vertical="top" wrapText="1"/>
    </xf>
    <xf numFmtId="164" fontId="17" fillId="3" borderId="6" xfId="3" applyFont="1" applyFill="1" applyBorder="1" applyAlignment="1">
      <alignment horizontal="right" vertical="top" wrapText="1"/>
    </xf>
    <xf numFmtId="164" fontId="17" fillId="3" borderId="3" xfId="3" applyFont="1" applyFill="1" applyBorder="1" applyAlignment="1">
      <alignment horizontal="right" vertical="top" wrapText="1"/>
    </xf>
    <xf numFmtId="0" fontId="17" fillId="3" borderId="11" xfId="6" applyFont="1" applyFill="1" applyBorder="1" applyAlignment="1">
      <alignment horizontal="left" vertical="top" wrapText="1"/>
    </xf>
    <xf numFmtId="0" fontId="22" fillId="4" borderId="21" xfId="6" applyFont="1" applyFill="1" applyBorder="1" applyAlignment="1">
      <alignment horizontal="left" vertical="top" wrapText="1"/>
    </xf>
    <xf numFmtId="0" fontId="22" fillId="4" borderId="5" xfId="6" applyFont="1" applyFill="1" applyBorder="1" applyAlignment="1">
      <alignment horizontal="left" vertical="top" wrapText="1"/>
    </xf>
    <xf numFmtId="164" fontId="22" fillId="4" borderId="21" xfId="3" applyFont="1" applyFill="1" applyBorder="1" applyAlignment="1">
      <alignment horizontal="center" vertical="top"/>
    </xf>
    <xf numFmtId="164" fontId="22" fillId="4" borderId="5" xfId="3" applyFont="1" applyFill="1" applyBorder="1" applyAlignment="1">
      <alignment horizontal="center" vertical="top"/>
    </xf>
    <xf numFmtId="0" fontId="16" fillId="4" borderId="21" xfId="6" applyFont="1" applyFill="1" applyBorder="1" applyAlignment="1">
      <alignment horizontal="center" vertical="top" wrapText="1"/>
    </xf>
    <xf numFmtId="164" fontId="17" fillId="3" borderId="3" xfId="3" applyFont="1" applyFill="1" applyBorder="1" applyAlignment="1">
      <alignment horizontal="center" vertical="top"/>
    </xf>
    <xf numFmtId="3" fontId="20" fillId="3" borderId="6" xfId="0" applyNumberFormat="1" applyFont="1" applyFill="1" applyBorder="1" applyAlignment="1">
      <alignment vertical="top"/>
    </xf>
    <xf numFmtId="3" fontId="20" fillId="3" borderId="3" xfId="0" applyNumberFormat="1" applyFont="1" applyFill="1" applyBorder="1" applyAlignment="1">
      <alignment vertical="top"/>
    </xf>
    <xf numFmtId="3" fontId="20" fillId="3" borderId="5" xfId="0" applyNumberFormat="1" applyFont="1" applyFill="1" applyBorder="1" applyAlignment="1">
      <alignment vertical="top"/>
    </xf>
    <xf numFmtId="0" fontId="16" fillId="0" borderId="38" xfId="6" applyFont="1" applyBorder="1" applyAlignment="1">
      <alignment horizontal="right" vertical="center"/>
    </xf>
    <xf numFmtId="0" fontId="17" fillId="0" borderId="15" xfId="6" applyFont="1" applyBorder="1" applyAlignment="1">
      <alignment horizontal="right" vertical="center"/>
    </xf>
    <xf numFmtId="0" fontId="17" fillId="0" borderId="9" xfId="6" applyFont="1" applyBorder="1" applyAlignment="1">
      <alignment horizontal="right" vertical="center"/>
    </xf>
    <xf numFmtId="0" fontId="17" fillId="0" borderId="8" xfId="6" applyFont="1" applyBorder="1" applyAlignment="1">
      <alignment horizontal="center" vertical="center"/>
    </xf>
    <xf numFmtId="0" fontId="17" fillId="0" borderId="15" xfId="6" applyFont="1" applyBorder="1" applyAlignment="1">
      <alignment horizontal="center" vertical="center"/>
    </xf>
    <xf numFmtId="0" fontId="17" fillId="0" borderId="9" xfId="6" applyFont="1" applyBorder="1" applyAlignment="1">
      <alignment horizontal="center" vertical="center"/>
    </xf>
    <xf numFmtId="0" fontId="16" fillId="0" borderId="15" xfId="6" applyFont="1" applyBorder="1" applyAlignment="1">
      <alignment horizontal="right" vertical="center"/>
    </xf>
    <xf numFmtId="0" fontId="16" fillId="0" borderId="9" xfId="6" applyFont="1" applyBorder="1" applyAlignment="1">
      <alignment horizontal="right" vertical="center"/>
    </xf>
    <xf numFmtId="0" fontId="17" fillId="0" borderId="0" xfId="6" applyFont="1" applyAlignment="1">
      <alignment horizontal="left" vertical="center"/>
    </xf>
    <xf numFmtId="164" fontId="16" fillId="3" borderId="33" xfId="6" applyNumberFormat="1" applyFont="1" applyFill="1" applyBorder="1" applyAlignment="1">
      <alignment horizontal="right" vertical="center"/>
    </xf>
    <xf numFmtId="164" fontId="16" fillId="3" borderId="34" xfId="6" applyNumberFormat="1" applyFont="1" applyFill="1" applyBorder="1" applyAlignment="1">
      <alignment horizontal="right" vertical="center"/>
    </xf>
    <xf numFmtId="164" fontId="1" fillId="3" borderId="6" xfId="0" applyNumberFormat="1" applyFont="1" applyFill="1" applyBorder="1" applyAlignment="1">
      <alignment vertical="top"/>
    </xf>
    <xf numFmtId="164" fontId="1" fillId="3" borderId="5" xfId="0" applyNumberFormat="1" applyFont="1" applyFill="1" applyBorder="1" applyAlignment="1">
      <alignment vertical="top"/>
    </xf>
    <xf numFmtId="164" fontId="1" fillId="3" borderId="3" xfId="0" applyNumberFormat="1" applyFont="1" applyFill="1" applyBorder="1" applyAlignment="1">
      <alignment vertical="top"/>
    </xf>
    <xf numFmtId="164" fontId="1" fillId="3" borderId="20" xfId="0" applyNumberFormat="1" applyFont="1" applyFill="1" applyBorder="1" applyAlignment="1">
      <alignment vertical="top"/>
    </xf>
    <xf numFmtId="0" fontId="19" fillId="3" borderId="0" xfId="0" applyFont="1" applyFill="1" applyBorder="1" applyAlignment="1">
      <alignment horizontal="center" vertical="center" wrapText="1"/>
    </xf>
    <xf numFmtId="0" fontId="16" fillId="3" borderId="1" xfId="6" applyFont="1" applyFill="1" applyBorder="1" applyAlignment="1">
      <alignment horizontal="center" vertical="center"/>
    </xf>
    <xf numFmtId="0" fontId="17" fillId="3" borderId="12" xfId="6" applyFont="1" applyFill="1" applyBorder="1" applyAlignment="1">
      <alignment vertical="center"/>
    </xf>
    <xf numFmtId="0" fontId="17" fillId="3" borderId="12" xfId="6" applyFont="1" applyFill="1" applyBorder="1" applyAlignment="1">
      <alignment horizontal="justify" vertical="top" wrapText="1"/>
    </xf>
    <xf numFmtId="0" fontId="17" fillId="3" borderId="12" xfId="6" applyFont="1" applyFill="1" applyBorder="1" applyAlignment="1">
      <alignment horizontal="center" vertical="top" wrapText="1"/>
    </xf>
    <xf numFmtId="164" fontId="17" fillId="3" borderId="12" xfId="3" applyFont="1" applyFill="1" applyBorder="1" applyAlignment="1">
      <alignment horizontal="center" vertical="center" wrapText="1"/>
    </xf>
    <xf numFmtId="164" fontId="17" fillId="3" borderId="12" xfId="3" applyFont="1" applyFill="1" applyBorder="1" applyAlignment="1">
      <alignment horizontal="center" vertical="top" wrapText="1"/>
    </xf>
    <xf numFmtId="164" fontId="17" fillId="3" borderId="12" xfId="6" applyNumberFormat="1" applyFont="1" applyFill="1" applyBorder="1" applyAlignment="1">
      <alignment vertical="top" wrapText="1"/>
    </xf>
    <xf numFmtId="165" fontId="17" fillId="3" borderId="12" xfId="6" applyNumberFormat="1" applyFont="1" applyFill="1" applyBorder="1" applyAlignment="1">
      <alignment horizontal="right" vertical="center" wrapText="1"/>
    </xf>
    <xf numFmtId="167" fontId="17" fillId="3" borderId="12" xfId="6" applyNumberFormat="1" applyFont="1" applyFill="1" applyBorder="1" applyAlignment="1">
      <alignment horizontal="right" vertical="top" wrapText="1"/>
    </xf>
    <xf numFmtId="0" fontId="17" fillId="3" borderId="1" xfId="6" applyFont="1" applyFill="1" applyBorder="1" applyAlignment="1">
      <alignment vertical="center"/>
    </xf>
    <xf numFmtId="0" fontId="17" fillId="3" borderId="1" xfId="6" applyFont="1" applyFill="1" applyBorder="1" applyAlignment="1">
      <alignment horizontal="justify" vertical="top" wrapText="1"/>
    </xf>
    <xf numFmtId="0" fontId="17" fillId="3" borderId="1" xfId="6" applyFont="1" applyFill="1" applyBorder="1" applyAlignment="1">
      <alignment horizontal="center" vertical="top" wrapText="1"/>
    </xf>
    <xf numFmtId="164" fontId="17" fillId="3" borderId="1" xfId="3" applyFont="1" applyFill="1" applyBorder="1" applyAlignment="1">
      <alignment horizontal="center" vertical="center" wrapText="1"/>
    </xf>
    <xf numFmtId="164" fontId="17" fillId="3" borderId="1" xfId="3" applyFont="1" applyFill="1" applyBorder="1" applyAlignment="1">
      <alignment horizontal="center" vertical="top" wrapText="1"/>
    </xf>
    <xf numFmtId="164" fontId="17" fillId="3" borderId="1" xfId="6" applyNumberFormat="1" applyFont="1" applyFill="1" applyBorder="1" applyAlignment="1">
      <alignment vertical="top" wrapText="1"/>
    </xf>
    <xf numFmtId="165" fontId="17" fillId="3" borderId="1" xfId="6" applyNumberFormat="1" applyFont="1" applyFill="1" applyBorder="1" applyAlignment="1">
      <alignment horizontal="right" vertical="center" wrapText="1"/>
    </xf>
    <xf numFmtId="167" fontId="17" fillId="3" borderId="1" xfId="6" applyNumberFormat="1" applyFont="1" applyFill="1" applyBorder="1" applyAlignment="1">
      <alignment horizontal="right" vertical="top" wrapText="1"/>
    </xf>
    <xf numFmtId="167" fontId="17" fillId="3" borderId="3" xfId="3" applyNumberFormat="1" applyFont="1" applyFill="1" applyBorder="1" applyAlignment="1">
      <alignment horizontal="center" vertical="center" wrapText="1"/>
    </xf>
    <xf numFmtId="0" fontId="17" fillId="3" borderId="3" xfId="6" applyFont="1" applyFill="1" applyBorder="1" applyAlignment="1">
      <alignment vertical="top" wrapText="1"/>
    </xf>
    <xf numFmtId="0" fontId="17" fillId="3" borderId="12" xfId="6" applyFont="1" applyFill="1" applyBorder="1" applyAlignment="1">
      <alignment vertical="center" wrapText="1"/>
    </xf>
    <xf numFmtId="0" fontId="17" fillId="3" borderId="12" xfId="6" applyFont="1" applyFill="1" applyBorder="1" applyAlignment="1">
      <alignment horizontal="left" vertical="top" wrapText="1"/>
    </xf>
    <xf numFmtId="0" fontId="17" fillId="3" borderId="12" xfId="6" applyFont="1" applyFill="1" applyBorder="1" applyAlignment="1">
      <alignment vertical="top" wrapText="1"/>
    </xf>
    <xf numFmtId="0" fontId="17" fillId="3" borderId="12" xfId="6" applyFont="1" applyFill="1" applyBorder="1" applyAlignment="1">
      <alignment horizontal="right" vertical="top" wrapText="1"/>
    </xf>
    <xf numFmtId="167" fontId="17" fillId="3" borderId="12" xfId="3" applyNumberFormat="1" applyFont="1" applyFill="1" applyBorder="1" applyAlignment="1">
      <alignment horizontal="center" vertical="center" wrapText="1"/>
    </xf>
    <xf numFmtId="164" fontId="17" fillId="3" borderId="12" xfId="6" applyNumberFormat="1" applyFont="1" applyFill="1" applyBorder="1" applyAlignment="1">
      <alignment horizontal="center" vertical="top" wrapText="1"/>
    </xf>
    <xf numFmtId="0" fontId="17" fillId="3" borderId="0" xfId="6" applyFont="1" applyFill="1" applyBorder="1" applyAlignment="1">
      <alignment vertical="center" wrapText="1"/>
    </xf>
    <xf numFmtId="0" fontId="17" fillId="3" borderId="0" xfId="6" applyFont="1" applyFill="1" applyBorder="1" applyAlignment="1">
      <alignment horizontal="left" vertical="top" wrapText="1"/>
    </xf>
    <xf numFmtId="0" fontId="17" fillId="3" borderId="0" xfId="6" applyFont="1" applyFill="1" applyBorder="1" applyAlignment="1">
      <alignment vertical="top" wrapText="1"/>
    </xf>
    <xf numFmtId="0" fontId="17" fillId="3" borderId="0" xfId="6" applyFont="1" applyFill="1" applyBorder="1" applyAlignment="1">
      <alignment horizontal="center" vertical="top" wrapText="1"/>
    </xf>
    <xf numFmtId="164" fontId="17" fillId="3" borderId="0" xfId="3" applyFont="1" applyFill="1" applyBorder="1" applyAlignment="1">
      <alignment horizontal="center" vertical="center" wrapText="1"/>
    </xf>
    <xf numFmtId="0" fontId="17" fillId="3" borderId="0" xfId="6" applyFont="1" applyFill="1" applyBorder="1" applyAlignment="1">
      <alignment horizontal="right" vertical="top" wrapText="1"/>
    </xf>
    <xf numFmtId="167" fontId="17" fillId="3" borderId="0" xfId="3" applyNumberFormat="1" applyFont="1" applyFill="1" applyBorder="1" applyAlignment="1">
      <alignment horizontal="center" vertical="center" wrapText="1"/>
    </xf>
    <xf numFmtId="164" fontId="17" fillId="3" borderId="0" xfId="6" applyNumberFormat="1" applyFont="1" applyFill="1" applyBorder="1" applyAlignment="1">
      <alignment horizontal="center" vertical="top" wrapText="1"/>
    </xf>
    <xf numFmtId="0" fontId="17" fillId="3" borderId="1" xfId="6" applyFont="1" applyFill="1" applyBorder="1" applyAlignment="1">
      <alignment vertical="center" wrapText="1"/>
    </xf>
    <xf numFmtId="0" fontId="17" fillId="3" borderId="1" xfId="6" applyFont="1" applyFill="1" applyBorder="1" applyAlignment="1">
      <alignment horizontal="left" vertical="top" wrapText="1"/>
    </xf>
    <xf numFmtId="0" fontId="17" fillId="3" borderId="1" xfId="6" applyFont="1" applyFill="1" applyBorder="1" applyAlignment="1">
      <alignment vertical="top" wrapText="1"/>
    </xf>
    <xf numFmtId="0" fontId="17" fillId="3" borderId="1" xfId="6" applyFont="1" applyFill="1" applyBorder="1" applyAlignment="1">
      <alignment horizontal="right" vertical="top" wrapText="1"/>
    </xf>
    <xf numFmtId="167" fontId="17" fillId="3" borderId="1" xfId="3" applyNumberFormat="1" applyFont="1" applyFill="1" applyBorder="1" applyAlignment="1">
      <alignment horizontal="center" vertical="center" wrapText="1"/>
    </xf>
    <xf numFmtId="164" fontId="17" fillId="3" borderId="1" xfId="6" applyNumberFormat="1" applyFont="1" applyFill="1" applyBorder="1" applyAlignment="1">
      <alignment horizontal="center" vertical="top" wrapText="1"/>
    </xf>
    <xf numFmtId="10" fontId="16" fillId="2" borderId="21" xfId="6" applyNumberFormat="1" applyFont="1" applyFill="1" applyBorder="1" applyAlignment="1">
      <alignment horizontal="center" vertical="top" wrapText="1"/>
    </xf>
    <xf numFmtId="166" fontId="16" fillId="2" borderId="21" xfId="6" applyNumberFormat="1" applyFont="1" applyFill="1" applyBorder="1" applyAlignment="1">
      <alignment horizontal="center" vertical="top" wrapText="1"/>
    </xf>
    <xf numFmtId="164" fontId="16" fillId="2" borderId="21" xfId="6" applyNumberFormat="1" applyFont="1" applyFill="1" applyBorder="1" applyAlignment="1">
      <alignment horizontal="center" vertical="top" wrapText="1"/>
    </xf>
    <xf numFmtId="173" fontId="16" fillId="2" borderId="21" xfId="6" applyNumberFormat="1" applyFont="1" applyFill="1" applyBorder="1" applyAlignment="1">
      <alignment horizontal="center" vertical="top" wrapText="1"/>
    </xf>
    <xf numFmtId="173" fontId="16" fillId="2" borderId="21" xfId="6" applyNumberFormat="1" applyFont="1" applyFill="1" applyBorder="1" applyAlignment="1">
      <alignment horizontal="right" vertical="top" wrapText="1"/>
    </xf>
    <xf numFmtId="10" fontId="16" fillId="2" borderId="6" xfId="6" quotePrefix="1" applyNumberFormat="1" applyFont="1" applyFill="1" applyBorder="1" applyAlignment="1">
      <alignment horizontal="right" vertical="top" wrapText="1"/>
    </xf>
    <xf numFmtId="10" fontId="16" fillId="2" borderId="21" xfId="6" applyNumberFormat="1" applyFont="1" applyFill="1" applyBorder="1" applyAlignment="1">
      <alignment horizontal="right" vertical="top" wrapText="1"/>
    </xf>
    <xf numFmtId="0" fontId="17" fillId="2" borderId="24" xfId="6" applyFont="1" applyFill="1" applyBorder="1" applyAlignment="1">
      <alignment horizontal="center" vertical="top" wrapText="1"/>
    </xf>
    <xf numFmtId="0" fontId="16" fillId="0" borderId="12" xfId="6" applyFont="1" applyFill="1" applyBorder="1" applyAlignment="1">
      <alignment horizontal="left" vertical="top" wrapText="1"/>
    </xf>
    <xf numFmtId="0" fontId="16" fillId="0" borderId="12" xfId="6" applyFont="1" applyFill="1" applyBorder="1" applyAlignment="1">
      <alignment horizontal="justify" vertical="top" wrapText="1"/>
    </xf>
    <xf numFmtId="10" fontId="16" fillId="0" borderId="12" xfId="6" applyNumberFormat="1" applyFont="1" applyFill="1" applyBorder="1" applyAlignment="1">
      <alignment horizontal="center" vertical="top" wrapText="1"/>
    </xf>
    <xf numFmtId="166" fontId="16" fillId="0" borderId="12" xfId="6" applyNumberFormat="1" applyFont="1" applyFill="1" applyBorder="1" applyAlignment="1">
      <alignment horizontal="center" vertical="top" wrapText="1"/>
    </xf>
    <xf numFmtId="164" fontId="16" fillId="0" borderId="12" xfId="6" applyNumberFormat="1" applyFont="1" applyFill="1" applyBorder="1" applyAlignment="1">
      <alignment horizontal="center" vertical="top" wrapText="1"/>
    </xf>
    <xf numFmtId="173" fontId="16" fillId="0" borderId="12" xfId="6" applyNumberFormat="1" applyFont="1" applyFill="1" applyBorder="1" applyAlignment="1">
      <alignment horizontal="center" vertical="top" wrapText="1"/>
    </xf>
    <xf numFmtId="173" fontId="16" fillId="0" borderId="12" xfId="6" applyNumberFormat="1" applyFont="1" applyFill="1" applyBorder="1" applyAlignment="1">
      <alignment horizontal="right" vertical="top" wrapText="1"/>
    </xf>
    <xf numFmtId="10" fontId="16" fillId="0" borderId="12" xfId="6" quotePrefix="1" applyNumberFormat="1" applyFont="1" applyFill="1" applyBorder="1" applyAlignment="1">
      <alignment horizontal="right" vertical="top" wrapText="1"/>
    </xf>
    <xf numFmtId="10" fontId="16" fillId="0" borderId="12" xfId="6" applyNumberFormat="1" applyFont="1" applyFill="1" applyBorder="1" applyAlignment="1">
      <alignment horizontal="right" vertical="top" wrapText="1"/>
    </xf>
    <xf numFmtId="167" fontId="16" fillId="0" borderId="12" xfId="3" applyNumberFormat="1" applyFont="1" applyFill="1" applyBorder="1" applyAlignment="1">
      <alignment horizontal="left" vertical="top" wrapText="1"/>
    </xf>
    <xf numFmtId="0" fontId="17" fillId="0" borderId="12" xfId="6" applyFont="1" applyFill="1" applyBorder="1" applyAlignment="1">
      <alignment horizontal="center" vertical="top" wrapText="1"/>
    </xf>
    <xf numFmtId="0" fontId="16" fillId="0" borderId="0" xfId="6" applyFont="1" applyFill="1" applyBorder="1" applyAlignment="1">
      <alignment horizontal="left" vertical="top" wrapText="1"/>
    </xf>
    <xf numFmtId="0" fontId="16" fillId="0" borderId="0" xfId="6" applyFont="1" applyFill="1" applyBorder="1" applyAlignment="1">
      <alignment horizontal="justify" vertical="top" wrapText="1"/>
    </xf>
    <xf numFmtId="10" fontId="16" fillId="0" borderId="0" xfId="6" applyNumberFormat="1" applyFont="1" applyFill="1" applyBorder="1" applyAlignment="1">
      <alignment horizontal="center" vertical="top" wrapText="1"/>
    </xf>
    <xf numFmtId="166" fontId="16" fillId="0" borderId="0" xfId="6" applyNumberFormat="1" applyFont="1" applyFill="1" applyBorder="1" applyAlignment="1">
      <alignment horizontal="center" vertical="top" wrapText="1"/>
    </xf>
    <xf numFmtId="164" fontId="16" fillId="0" borderId="0" xfId="6" applyNumberFormat="1" applyFont="1" applyFill="1" applyBorder="1" applyAlignment="1">
      <alignment horizontal="center" vertical="top" wrapText="1"/>
    </xf>
    <xf numFmtId="173" fontId="16" fillId="0" borderId="0" xfId="6" applyNumberFormat="1" applyFont="1" applyFill="1" applyBorder="1" applyAlignment="1">
      <alignment horizontal="center" vertical="top" wrapText="1"/>
    </xf>
    <xf numFmtId="173" fontId="16" fillId="0" borderId="0" xfId="6" applyNumberFormat="1" applyFont="1" applyFill="1" applyBorder="1" applyAlignment="1">
      <alignment horizontal="right" vertical="top" wrapText="1"/>
    </xf>
    <xf numFmtId="10" fontId="16" fillId="0" borderId="0" xfId="6" quotePrefix="1" applyNumberFormat="1" applyFont="1" applyFill="1" applyBorder="1" applyAlignment="1">
      <alignment horizontal="right" vertical="top" wrapText="1"/>
    </xf>
    <xf numFmtId="10" fontId="16" fillId="0" borderId="0" xfId="6" applyNumberFormat="1" applyFont="1" applyFill="1" applyBorder="1" applyAlignment="1">
      <alignment horizontal="right" vertical="top" wrapText="1"/>
    </xf>
    <xf numFmtId="167" fontId="16" fillId="0" borderId="0" xfId="3" applyNumberFormat="1" applyFont="1" applyFill="1" applyBorder="1" applyAlignment="1">
      <alignment horizontal="left" vertical="top" wrapText="1"/>
    </xf>
    <xf numFmtId="0" fontId="17" fillId="0" borderId="0" xfId="6" applyFont="1" applyFill="1" applyBorder="1" applyAlignment="1">
      <alignment horizontal="center" vertical="top" wrapText="1"/>
    </xf>
    <xf numFmtId="0" fontId="16" fillId="0" borderId="1" xfId="6" applyFont="1" applyFill="1" applyBorder="1" applyAlignment="1">
      <alignment horizontal="left" vertical="top" wrapText="1"/>
    </xf>
    <xf numFmtId="0" fontId="16" fillId="0" borderId="1" xfId="6" applyFont="1" applyFill="1" applyBorder="1" applyAlignment="1">
      <alignment horizontal="justify" vertical="top" wrapText="1"/>
    </xf>
    <xf numFmtId="10" fontId="16" fillId="0" borderId="1" xfId="6" applyNumberFormat="1" applyFont="1" applyFill="1" applyBorder="1" applyAlignment="1">
      <alignment horizontal="center" vertical="top" wrapText="1"/>
    </xf>
    <xf numFmtId="166" fontId="16" fillId="0" borderId="1" xfId="6" applyNumberFormat="1" applyFont="1" applyFill="1" applyBorder="1" applyAlignment="1">
      <alignment horizontal="center" vertical="top" wrapText="1"/>
    </xf>
    <xf numFmtId="164" fontId="16" fillId="0" borderId="1" xfId="6" applyNumberFormat="1" applyFont="1" applyFill="1" applyBorder="1" applyAlignment="1">
      <alignment horizontal="center" vertical="top" wrapText="1"/>
    </xf>
    <xf numFmtId="173" fontId="16" fillId="0" borderId="1" xfId="6" applyNumberFormat="1" applyFont="1" applyFill="1" applyBorder="1" applyAlignment="1">
      <alignment horizontal="center" vertical="top" wrapText="1"/>
    </xf>
    <xf numFmtId="173" fontId="16" fillId="0" borderId="1" xfId="6" applyNumberFormat="1" applyFont="1" applyFill="1" applyBorder="1" applyAlignment="1">
      <alignment horizontal="right" vertical="top" wrapText="1"/>
    </xf>
    <xf numFmtId="10" fontId="16" fillId="0" borderId="1" xfId="6" quotePrefix="1" applyNumberFormat="1" applyFont="1" applyFill="1" applyBorder="1" applyAlignment="1">
      <alignment horizontal="right" vertical="top" wrapText="1"/>
    </xf>
    <xf numFmtId="10" fontId="16" fillId="0" borderId="1" xfId="6" applyNumberFormat="1" applyFont="1" applyFill="1" applyBorder="1" applyAlignment="1">
      <alignment horizontal="right" vertical="top" wrapText="1"/>
    </xf>
    <xf numFmtId="167" fontId="16" fillId="0" borderId="1" xfId="3" applyNumberFormat="1" applyFont="1" applyFill="1" applyBorder="1" applyAlignment="1">
      <alignment horizontal="left" vertical="top" wrapText="1"/>
    </xf>
    <xf numFmtId="0" fontId="17" fillId="0" borderId="1" xfId="6" applyFont="1" applyFill="1" applyBorder="1" applyAlignment="1">
      <alignment horizontal="center" vertical="top" wrapText="1"/>
    </xf>
    <xf numFmtId="0" fontId="16" fillId="3" borderId="22" xfId="6" applyFont="1" applyFill="1" applyBorder="1" applyAlignment="1">
      <alignment horizontal="left" vertical="top"/>
    </xf>
    <xf numFmtId="0" fontId="17" fillId="3" borderId="22" xfId="6" applyFont="1" applyFill="1" applyBorder="1" applyAlignment="1">
      <alignment horizontal="justify" vertical="top" wrapText="1"/>
    </xf>
    <xf numFmtId="0" fontId="17" fillId="3" borderId="22" xfId="4" applyNumberFormat="1" applyFont="1" applyFill="1" applyBorder="1" applyAlignment="1">
      <alignment horizontal="center" vertical="top" wrapText="1"/>
    </xf>
    <xf numFmtId="9" fontId="17" fillId="3" borderId="22" xfId="4" applyFont="1" applyFill="1" applyBorder="1" applyAlignment="1">
      <alignment horizontal="center" wrapText="1"/>
    </xf>
    <xf numFmtId="3" fontId="17" fillId="3" borderId="22" xfId="6" applyNumberFormat="1" applyFont="1" applyFill="1" applyBorder="1" applyAlignment="1">
      <alignment horizontal="right" vertical="top"/>
    </xf>
    <xf numFmtId="9" fontId="17" fillId="3" borderId="22" xfId="4" applyFont="1" applyFill="1" applyBorder="1" applyAlignment="1">
      <alignment horizontal="center" vertical="top" wrapText="1"/>
    </xf>
    <xf numFmtId="164" fontId="17" fillId="3" borderId="22" xfId="6" applyNumberFormat="1" applyFont="1" applyFill="1" applyBorder="1" applyAlignment="1">
      <alignment horizontal="right" vertical="top"/>
    </xf>
    <xf numFmtId="9" fontId="17" fillId="3" borderId="22" xfId="4" applyFont="1" applyFill="1" applyBorder="1" applyAlignment="1">
      <alignment horizontal="right" vertical="top" wrapText="1"/>
    </xf>
    <xf numFmtId="164" fontId="17" fillId="3" borderId="22" xfId="6" applyNumberFormat="1" applyFont="1" applyFill="1" applyBorder="1" applyAlignment="1">
      <alignment vertical="top"/>
    </xf>
    <xf numFmtId="164" fontId="17" fillId="3" borderId="22" xfId="6" applyNumberFormat="1" applyFont="1" applyFill="1" applyBorder="1" applyAlignment="1">
      <alignment horizontal="center" vertical="top" wrapText="1"/>
    </xf>
    <xf numFmtId="164" fontId="17" fillId="3" borderId="22" xfId="6" applyNumberFormat="1" applyFont="1" applyFill="1" applyBorder="1" applyAlignment="1">
      <alignment horizontal="right" vertical="top" wrapText="1"/>
    </xf>
    <xf numFmtId="167" fontId="17" fillId="3" borderId="22" xfId="3" applyNumberFormat="1" applyFont="1" applyFill="1" applyBorder="1" applyAlignment="1">
      <alignment horizontal="left" vertical="top" wrapText="1"/>
    </xf>
    <xf numFmtId="0" fontId="17" fillId="3" borderId="22" xfId="6" applyFont="1" applyFill="1" applyBorder="1" applyAlignment="1">
      <alignment horizontal="center" vertical="top" wrapText="1"/>
    </xf>
    <xf numFmtId="0" fontId="16" fillId="3" borderId="0" xfId="6" applyFont="1" applyFill="1" applyBorder="1" applyAlignment="1">
      <alignment horizontal="left" vertical="top"/>
    </xf>
    <xf numFmtId="0" fontId="17" fillId="3" borderId="0" xfId="6" applyFont="1" applyFill="1" applyBorder="1" applyAlignment="1">
      <alignment horizontal="justify" vertical="top" wrapText="1"/>
    </xf>
    <xf numFmtId="0" fontId="17" fillId="3" borderId="0" xfId="4" applyNumberFormat="1" applyFont="1" applyFill="1" applyBorder="1" applyAlignment="1">
      <alignment horizontal="center" vertical="top" wrapText="1"/>
    </xf>
    <xf numFmtId="9" fontId="17" fillId="3" borderId="0" xfId="4" applyFont="1" applyFill="1" applyBorder="1" applyAlignment="1">
      <alignment horizontal="center" wrapText="1"/>
    </xf>
    <xf numFmtId="3" fontId="17" fillId="3" borderId="0" xfId="6" applyNumberFormat="1" applyFont="1" applyFill="1" applyBorder="1" applyAlignment="1">
      <alignment horizontal="right" vertical="top"/>
    </xf>
    <xf numFmtId="9" fontId="17" fillId="3" borderId="0" xfId="4" applyFont="1" applyFill="1" applyBorder="1" applyAlignment="1">
      <alignment horizontal="center" vertical="top" wrapText="1"/>
    </xf>
    <xf numFmtId="164" fontId="17" fillId="3" borderId="0" xfId="6" applyNumberFormat="1" applyFont="1" applyFill="1" applyBorder="1" applyAlignment="1">
      <alignment horizontal="right" vertical="top"/>
    </xf>
    <xf numFmtId="9" fontId="17" fillId="3" borderId="0" xfId="4" applyFont="1" applyFill="1" applyBorder="1" applyAlignment="1">
      <alignment horizontal="right" vertical="top" wrapText="1"/>
    </xf>
    <xf numFmtId="164" fontId="17" fillId="3" borderId="0" xfId="6" applyNumberFormat="1" applyFont="1" applyFill="1" applyBorder="1" applyAlignment="1">
      <alignment vertical="top"/>
    </xf>
    <xf numFmtId="164" fontId="17" fillId="3" borderId="0" xfId="6" applyNumberFormat="1" applyFont="1" applyFill="1" applyBorder="1" applyAlignment="1">
      <alignment horizontal="right" vertical="top" wrapText="1"/>
    </xf>
    <xf numFmtId="167" fontId="17" fillId="3" borderId="0" xfId="3" applyNumberFormat="1" applyFont="1" applyFill="1" applyBorder="1" applyAlignment="1">
      <alignment horizontal="left" vertical="top" wrapText="1"/>
    </xf>
    <xf numFmtId="0" fontId="16" fillId="3" borderId="39" xfId="6" applyFont="1" applyFill="1" applyBorder="1" applyAlignment="1">
      <alignment horizontal="left" vertical="top"/>
    </xf>
    <xf numFmtId="0" fontId="17" fillId="3" borderId="39" xfId="6" applyFont="1" applyFill="1" applyBorder="1" applyAlignment="1">
      <alignment horizontal="justify" vertical="top" wrapText="1"/>
    </xf>
    <xf numFmtId="0" fontId="17" fillId="3" borderId="39" xfId="4" applyNumberFormat="1" applyFont="1" applyFill="1" applyBorder="1" applyAlignment="1">
      <alignment horizontal="center" vertical="top" wrapText="1"/>
    </xf>
    <xf numFmtId="9" fontId="17" fillId="3" borderId="39" xfId="4" applyFont="1" applyFill="1" applyBorder="1" applyAlignment="1">
      <alignment horizontal="center" wrapText="1"/>
    </xf>
    <xf numFmtId="3" fontId="17" fillId="3" borderId="39" xfId="6" applyNumberFormat="1" applyFont="1" applyFill="1" applyBorder="1" applyAlignment="1">
      <alignment horizontal="right" vertical="top"/>
    </xf>
    <xf numFmtId="9" fontId="17" fillId="3" borderId="39" xfId="4" applyFont="1" applyFill="1" applyBorder="1" applyAlignment="1">
      <alignment horizontal="center" vertical="top" wrapText="1"/>
    </xf>
    <xf numFmtId="164" fontId="17" fillId="3" borderId="39" xfId="6" applyNumberFormat="1" applyFont="1" applyFill="1" applyBorder="1" applyAlignment="1">
      <alignment horizontal="right" vertical="top"/>
    </xf>
    <xf numFmtId="9" fontId="17" fillId="3" borderId="39" xfId="4" applyFont="1" applyFill="1" applyBorder="1" applyAlignment="1">
      <alignment horizontal="right" vertical="top" wrapText="1"/>
    </xf>
    <xf numFmtId="164" fontId="17" fillId="3" borderId="39" xfId="6" applyNumberFormat="1" applyFont="1" applyFill="1" applyBorder="1" applyAlignment="1">
      <alignment vertical="top"/>
    </xf>
    <xf numFmtId="164" fontId="17" fillId="3" borderId="39" xfId="6" applyNumberFormat="1" applyFont="1" applyFill="1" applyBorder="1" applyAlignment="1">
      <alignment horizontal="center" vertical="top" wrapText="1"/>
    </xf>
    <xf numFmtId="164" fontId="17" fillId="3" borderId="39" xfId="6" applyNumberFormat="1" applyFont="1" applyFill="1" applyBorder="1" applyAlignment="1">
      <alignment horizontal="right" vertical="top" wrapText="1"/>
    </xf>
    <xf numFmtId="167" fontId="17" fillId="3" borderId="39" xfId="3" applyNumberFormat="1" applyFont="1" applyFill="1" applyBorder="1" applyAlignment="1">
      <alignment horizontal="left" vertical="top" wrapText="1"/>
    </xf>
    <xf numFmtId="0" fontId="17" fillId="3" borderId="39" xfId="6" applyFont="1" applyFill="1" applyBorder="1" applyAlignment="1">
      <alignment horizontal="center" vertical="top" wrapText="1"/>
    </xf>
    <xf numFmtId="9" fontId="17" fillId="3" borderId="12" xfId="6" applyNumberFormat="1" applyFont="1" applyFill="1" applyBorder="1" applyAlignment="1">
      <alignment horizontal="center" vertical="top" wrapText="1"/>
    </xf>
    <xf numFmtId="41" fontId="17" fillId="3" borderId="12" xfId="3" applyNumberFormat="1" applyFont="1" applyFill="1" applyBorder="1" applyAlignment="1">
      <alignment vertical="top"/>
    </xf>
    <xf numFmtId="165" fontId="17" fillId="3" borderId="12" xfId="6" applyNumberFormat="1" applyFont="1" applyFill="1" applyBorder="1" applyAlignment="1">
      <alignment horizontal="center" vertical="top" wrapText="1"/>
    </xf>
    <xf numFmtId="164" fontId="17" fillId="3" borderId="12" xfId="3" applyFont="1" applyFill="1" applyBorder="1" applyAlignment="1">
      <alignment vertical="top"/>
    </xf>
    <xf numFmtId="9" fontId="17" fillId="3" borderId="12" xfId="6" applyNumberFormat="1" applyFont="1" applyFill="1" applyBorder="1" applyAlignment="1">
      <alignment horizontal="right" vertical="top" wrapText="1"/>
    </xf>
    <xf numFmtId="165" fontId="21" fillId="3" borderId="12" xfId="6" applyNumberFormat="1" applyFont="1" applyFill="1" applyBorder="1" applyAlignment="1">
      <alignment horizontal="right" vertical="top" wrapText="1"/>
    </xf>
    <xf numFmtId="164" fontId="21" fillId="3" borderId="12" xfId="3" applyFont="1" applyFill="1" applyBorder="1" applyAlignment="1">
      <alignment vertical="top"/>
    </xf>
    <xf numFmtId="167" fontId="17" fillId="3" borderId="12" xfId="3" applyNumberFormat="1" applyFont="1" applyFill="1" applyBorder="1" applyAlignment="1">
      <alignment horizontal="left" vertical="top" wrapText="1"/>
    </xf>
    <xf numFmtId="9" fontId="17" fillId="3" borderId="0" xfId="6" applyNumberFormat="1" applyFont="1" applyFill="1" applyBorder="1" applyAlignment="1">
      <alignment horizontal="center" vertical="top" wrapText="1"/>
    </xf>
    <xf numFmtId="41" fontId="17" fillId="3" borderId="0" xfId="3" applyNumberFormat="1" applyFont="1" applyFill="1" applyBorder="1" applyAlignment="1">
      <alignment vertical="top"/>
    </xf>
    <xf numFmtId="165" fontId="17" fillId="3" borderId="0" xfId="6" applyNumberFormat="1" applyFont="1" applyFill="1" applyBorder="1" applyAlignment="1">
      <alignment horizontal="center" vertical="top" wrapText="1"/>
    </xf>
    <xf numFmtId="9" fontId="17" fillId="3" borderId="0" xfId="6" applyNumberFormat="1" applyFont="1" applyFill="1" applyBorder="1" applyAlignment="1">
      <alignment horizontal="right" vertical="top" wrapText="1"/>
    </xf>
    <xf numFmtId="165" fontId="21" fillId="3" borderId="0" xfId="6" applyNumberFormat="1" applyFont="1" applyFill="1" applyBorder="1" applyAlignment="1">
      <alignment horizontal="right" vertical="top" wrapText="1"/>
    </xf>
    <xf numFmtId="164" fontId="21" fillId="3" borderId="0" xfId="3" applyFont="1" applyFill="1" applyBorder="1" applyAlignment="1">
      <alignment vertical="top"/>
    </xf>
    <xf numFmtId="9" fontId="17" fillId="3" borderId="1" xfId="6" applyNumberFormat="1" applyFont="1" applyFill="1" applyBorder="1" applyAlignment="1">
      <alignment horizontal="center" vertical="top" wrapText="1"/>
    </xf>
    <xf numFmtId="41" fontId="17" fillId="3" borderId="1" xfId="3" applyNumberFormat="1" applyFont="1" applyFill="1" applyBorder="1" applyAlignment="1">
      <alignment vertical="top"/>
    </xf>
    <xf numFmtId="165" fontId="17" fillId="3" borderId="1" xfId="6" applyNumberFormat="1" applyFont="1" applyFill="1" applyBorder="1" applyAlignment="1">
      <alignment horizontal="center" vertical="top" wrapText="1"/>
    </xf>
    <xf numFmtId="164" fontId="17" fillId="3" borderId="1" xfId="3" applyFont="1" applyFill="1" applyBorder="1" applyAlignment="1">
      <alignment vertical="top"/>
    </xf>
    <xf numFmtId="9" fontId="17" fillId="3" borderId="1" xfId="6" applyNumberFormat="1" applyFont="1" applyFill="1" applyBorder="1" applyAlignment="1">
      <alignment horizontal="right" vertical="top" wrapText="1"/>
    </xf>
    <xf numFmtId="165" fontId="21" fillId="3" borderId="1" xfId="6" applyNumberFormat="1" applyFont="1" applyFill="1" applyBorder="1" applyAlignment="1">
      <alignment horizontal="right" vertical="top" wrapText="1"/>
    </xf>
    <xf numFmtId="164" fontId="21" fillId="3" borderId="1" xfId="3" applyFont="1" applyFill="1" applyBorder="1" applyAlignment="1">
      <alignment vertical="top"/>
    </xf>
    <xf numFmtId="167" fontId="17" fillId="3" borderId="1" xfId="3" applyNumberFormat="1" applyFont="1" applyFill="1" applyBorder="1" applyAlignment="1">
      <alignment horizontal="left" vertical="top" wrapText="1"/>
    </xf>
  </cellXfs>
  <cellStyles count="8">
    <cellStyle name="Comma" xfId="7" builtinId="3"/>
    <cellStyle name="Comma [0]" xfId="1" builtinId="6"/>
    <cellStyle name="Comma [0] 2" xfId="3" xr:uid="{00000000-0005-0000-0000-000002000000}"/>
    <cellStyle name="Comma 2" xfId="5" xr:uid="{00000000-0005-0000-0000-000003000000}"/>
    <cellStyle name="Normal" xfId="0" builtinId="0"/>
    <cellStyle name="Normal 2" xfId="2" xr:uid="{00000000-0005-0000-0000-000005000000}"/>
    <cellStyle name="Normal 3" xfId="6" xr:uid="{00000000-0005-0000-0000-000006000000}"/>
    <cellStyle name="Percent 2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ENCANAAN%202022\BAHAN%20SOSIALISASI%20PEMUTAKHIRAN%202023\Matrik%20Renstra(Tabel%20TC.27.%206.1)2021-2026%20P3AP2KB%20PERMEN%20SESUAI%200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.XX NON URUSAN"/>
      <sheetName val="Tabel TC.27 BARU"/>
      <sheetName val="2.8 PPPA"/>
      <sheetName val="2.14 P2KB"/>
      <sheetName val="Tabel TC.27 RENSTRA PENYESUAIAN"/>
      <sheetName val="Tabel TC.27 RENSTRA PENYESU des"/>
      <sheetName val="Tabel TC.27 RENSTRA PENYESU +"/>
      <sheetName val="Tabel TC.27 AWAL"/>
      <sheetName val="Sheet1"/>
    </sheetNames>
    <sheetDataSet>
      <sheetData sheetId="0" refreshError="1">
        <row r="5">
          <cell r="B5" t="str">
            <v>Penyusunan Dokumen Perencanaan Perangkat Daerah</v>
          </cell>
        </row>
        <row r="67">
          <cell r="D67" t="str">
            <v>Jumlah Unit Peralatan dan Mesin Lainnya yang Disediakan</v>
          </cell>
        </row>
        <row r="74">
          <cell r="D74" t="str">
            <v>Jumlah Laporan Penyediaan Jasa Surat Menyurat</v>
          </cell>
        </row>
        <row r="75">
          <cell r="D75" t="str">
            <v>Jumlah Laporan Penyediaan Jasa Komunikasi, Sumber Daya Air dan Listrik yang Disediakan</v>
          </cell>
        </row>
        <row r="77">
          <cell r="D77" t="str">
            <v>Jumlah Laporan Penyediaan Jasa Pelayanan Umum Kantor yang Disediakan</v>
          </cell>
        </row>
      </sheetData>
      <sheetData sheetId="1" refreshError="1"/>
      <sheetData sheetId="2" refreshError="1">
        <row r="5">
          <cell r="D5" t="str">
            <v>Jumlah Dokumen Hasill Koordinasi dan Sinkronisasi Perumusan Kebijakan Pengarustamaan Gender (PUG) Kewenangan Kabupaten/Kota</v>
          </cell>
        </row>
        <row r="7">
          <cell r="D7" t="str">
            <v>Jumlah Perangkat Daerah yang Mengikuti Advokasi Kebijakan dan Pendampingan Pelaksanaan Pengarustamaan Gender (PUG) Termasuk Perencaan Pembangunan Responsif Gender (PPRG) Kewenangan Kabupaten/Kota</v>
          </cell>
        </row>
        <row r="10">
          <cell r="B10" t="str">
            <v>Sosialisasi Peningkatan Partisipasi Perempuan di Bidang Politik, Hukum, Sosial dan Ekonomi</v>
          </cell>
          <cell r="D10" t="str">
            <v>Jumlah Dokumen Hasil Sosialisasi Peningkatan Partisipasi Perempuan di Bidang Politik, Hukum, Sosial dan Ekonomi Kewenangan Kabupaten/Kota</v>
          </cell>
        </row>
        <row r="13">
          <cell r="B13" t="str">
            <v>Advokasi Kebijakan dan Pendampingan kepada Lembaga Penyedia Layanan Pemberdayaan Perempuan Kewenangan Kabupaten/Kota</v>
          </cell>
          <cell r="D13" t="str">
            <v>Jumlah Lembaga Penyedia Layanan Pemberdayaan Perempuan Kewenangan Kabupaten/Kota yang Mendapat Advokasi dan Pendampingan</v>
          </cell>
        </row>
        <row r="20">
          <cell r="B20" t="str">
            <v>Penyediaan Layanan Rujukan Lanjutan bagi Perempuan Korban Kekerasan yang Memerlukan Koordinasi Kewenangan Kabupaten/Kota</v>
          </cell>
        </row>
        <row r="21">
          <cell r="B21" t="str">
            <v>Penyediaan Layanan Pengaduan Masyarakat bagi Perempuan Korban Kekerasan Kewenangan Kabupaten/Kota</v>
          </cell>
          <cell r="D21" t="str">
            <v>Jumlah Perempuan Korban Kekerasan Tingkat Kabupaten/ Kota yang Mendapatkan Layanan Pengaduan</v>
          </cell>
        </row>
        <row r="25">
          <cell r="B25" t="str">
            <v>Peningkatan Kapasitas Sumber Daya Lembaga Penyedia Layanan Penanganan bagi Perempuan Korban Kekerasan Kewenangan Kabupaten/Kota</v>
          </cell>
          <cell r="D25" t="str">
            <v>Jumlah sumber Daya Manusia Lembaga Penyedia Layanan Penanganan bagi Perempuan Korban Kekerasan Kewenangan Kabupaten/Kota yang Mendapat Peningkatan Kapasitas</v>
          </cell>
        </row>
        <row r="27">
          <cell r="B27" t="str">
            <v>Penguatan Jejaring antar Lembaga Penyedia Layanan Perlindungan Perempuan Kewenangan Kabupaten/Kota</v>
          </cell>
          <cell r="D27" t="str">
            <v>Jumlah Dokumen Hasil Penguatan Jejaring Antar Lembaga Penyedia Layanan Perlindungan Perempuan Kewenangan Kabupaten/Kota</v>
          </cell>
        </row>
        <row r="31">
          <cell r="B31" t="str">
            <v>Pelaksanaan Komunikasi, Informasi dan Edukasi KG dan Perlindungan Anak bagi Keluarga Kewenangan Kabupaten/Kota</v>
          </cell>
          <cell r="D31" t="str">
            <v>Jumlah Komunikasi, Informasi, Edukasi (KIE) Kesetaraan Gender (KG) dan Perlindungan Anak bagi Keluarga Kewenangan Kabupaten/Kota yang Tersedia</v>
          </cell>
        </row>
        <row r="44">
          <cell r="B44" t="str">
            <v>Pelembagaan PHA pada Lembaga Pemerintah, Nonpemerintah, dan Dunia Usaha Kewenangan Kabupaten/Kota</v>
          </cell>
        </row>
        <row r="45">
          <cell r="B45" t="str">
            <v>Advokasi Kebijakan dan Pendampingan Pemenuhan Hak Anak pada Lembaga Pemerintah, Non Pemerintah, Media dan Dunia Usaha Kewenangan Kabupaten/Kota</v>
          </cell>
          <cell r="D45" t="str">
            <v>Jumlah Organisasi Pemerintah, Non Pemerintah, Media dan Dunia Usaha yang Mendapat Advokasi Kebijakan dan Pendampingan Pemenuhan Hak Anak pada Organisasi Pemerintah, Non Pemerintah, Media dan Dunia Usaha</v>
          </cell>
        </row>
        <row r="46">
          <cell r="B46" t="str">
            <v>Koordinasi dan Sinkronisasi Pelembagaan Pemenuhan Hak Anak Kewenangan Kabupaten/ Kota</v>
          </cell>
          <cell r="D46" t="str">
            <v>Jumlah Dokumen Hasil Koordinasi dan Sinkronisasi Pelembagaan Pemenuhan Hak Anak Kewenangan Kabupaten/ Kota</v>
          </cell>
        </row>
        <row r="47">
          <cell r="B47" t="str">
            <v>Penguatan dan Pengembangan Lembaga Penyedia Layanan Peningkatan Kualitas Hidup Anak Kewenangan Kabupaten/Kota</v>
          </cell>
        </row>
        <row r="48">
          <cell r="B48" t="str">
            <v>Penyediaan Layanan Peningkatan Kualitas Hidup Anak Kewenangan Kabupaten/ Kota</v>
          </cell>
          <cell r="D48" t="str">
            <v>Jumlah Anak yang Mendapatkan Layanan Peningkatan Kualitas Hidup Anak Kewenangan Kabupaten/ Kota</v>
          </cell>
        </row>
        <row r="51">
          <cell r="B51" t="str">
            <v>Penguatan Jejaring antar Lembaga Penyedia Layanan Peningkatan Kualitas Hidup Anak Tingkat Daerah Kabupaten/ Kota</v>
          </cell>
          <cell r="D51" t="str">
            <v>Jumlah Dokumen Hasil Penguatan Jejaring Antar Lembaga Penyedia Layanan Peningkatan Kualitas Hidup Anak Kewenangan Kabupaten/ Kota</v>
          </cell>
        </row>
        <row r="53">
          <cell r="B53" t="str">
            <v>Pencegahan Kekerasan Terhadap Anak yang Melibatkan para Pihak Lingkup Daerah Kabupaten/Kota</v>
          </cell>
        </row>
        <row r="54">
          <cell r="B54" t="str">
            <v>Advokasi Kebijakan dan Pendampingan Pelaksanaan Kebijakan, Program dan Kegiatan Pencegahan Kekerasan Terhadap Anak Kewenangan Kabupaten/ Kota</v>
          </cell>
          <cell r="D54" t="str">
            <v>Jumlah Perangkat Daerah yang Mendapat Advokasi Kebijakan dan Pendampingan Pelaksanaan Kebijakan, Program dan Kegiatan Pencegahan Kekerasan Terhadap Anak Kewenangan Kabupaten/ Kota</v>
          </cell>
        </row>
        <row r="56">
          <cell r="B56" t="str">
            <v>Penyediaan Layanan bagi Anak yang Memerlukan Perlindungan Khusus yang Memerlukan Koordinasi Tingkat Daerah Kabupaten/ Kota</v>
          </cell>
        </row>
        <row r="57">
          <cell r="B57" t="str">
            <v>Penyediaan Layanan Pengaduan Masyarakat bagi Anak yang Memerlukan Perlindungan Khusus Tingkat Daerah Kabupaten/ Kota</v>
          </cell>
          <cell r="D57" t="str">
            <v>Jumlah Anak yang Memerlukan Perlindungan Khusus Mendapatkan Layanan Pengaduan Kewenangan Kabupaten/ Kota</v>
          </cell>
        </row>
        <row r="61">
          <cell r="B61" t="str">
            <v>Penguatan dan Pengembangan Lembaga Penyedia Layanan bagi Anak yang Memerlukan Perlindungan Khusus Tingkat Daerah Kabupaten/Kota</v>
          </cell>
        </row>
      </sheetData>
      <sheetData sheetId="3" refreshError="1">
        <row r="4">
          <cell r="B4" t="str">
            <v>Pemaduan dan Sinkronisasi Kebijakan Pemerintah Daerah Provinsi dengan Pemerintah Daerah Kabupaten/ Kota dalam rangka Pengendalian Kuantitas Penduduk</v>
          </cell>
        </row>
        <row r="6">
          <cell r="B6" t="str">
            <v>Penyusunan dan Pemanfaatan Grand Design Pembangunan Kependudukan (GDPK) Tingkat Kabupaten/Kota</v>
          </cell>
          <cell r="D6" t="str">
            <v>Jumlah Dokumen Penyusunan dan Pemanfaatan Grand Design Pembangunan Kependudukan (GDPK) Tingkat Kabupaten/ Kota</v>
          </cell>
        </row>
        <row r="20">
          <cell r="B20" t="str">
            <v>Pemetaan Perkiraan Pengendalian Penduduk Cakupan Daerah Kabupaten/ Kota</v>
          </cell>
        </row>
        <row r="22">
          <cell r="B22" t="str">
            <v>Penyediaan dan Pengolahan Data Kependudukan</v>
          </cell>
          <cell r="D22" t="str">
            <v>Jumlah Dokumen Penyediaan dan Pengolahan Data Kependudukan</v>
          </cell>
        </row>
        <row r="31">
          <cell r="B31" t="str">
            <v>Penyediaan Data dan Informasi Keluarga</v>
          </cell>
          <cell r="D31" t="str">
            <v>Jumlah Data dan Informasi Keluarga yang Tersedianya</v>
          </cell>
        </row>
        <row r="37">
          <cell r="B37" t="str">
            <v>Advokasi Program KKBPK kepada Stakeholders dan Mitra Kerja</v>
          </cell>
          <cell r="D37" t="str">
            <v>Jumlah Organisasi yang Mendapatkan Advokasi Program Bangga Kencana (Pembangunan Keluarga, Kependudukan, dan Keluarga Berencana) kepada Stakeholders dan Mitra Kerja</v>
          </cell>
        </row>
        <row r="40">
          <cell r="B40" t="str">
            <v>Promosi dan KIE Program KKBPK Melalui Media Massa Cetak dan Elektronik serta Media Luar Ruang</v>
          </cell>
          <cell r="D40" t="str">
            <v>Jumlah Dokumen Promosi dan KIE Program Bangga Kencana (Pembangunan Keluarga, Kependudukan, dan Keluarga Berencana) Melalui Media Massa Cetak dan Elektronik serta Media Luar Ruang</v>
          </cell>
        </row>
        <row r="45">
          <cell r="B45" t="str">
            <v>Pendayagunaan Tenaga Penyuluh KB/ Petugas Lapangan KB (PKB/ PLKB)</v>
          </cell>
        </row>
        <row r="49">
          <cell r="D49" t="str">
            <v>Jumlah Kader yang Mengikuti Penggerakan Kader Institusi Masyarakat Pedesaan (IMP)</v>
          </cell>
        </row>
        <row r="50">
          <cell r="B50" t="str">
            <v>Pengendalian dan Pendistribusian Kebutuhan Alat dan Obat Kontrasepsi serta Pelaksanaan Pelayanan KB di Daerah Kabupaten/Kota</v>
          </cell>
        </row>
        <row r="64">
          <cell r="B64" t="str">
            <v>Pemberdayaan dan Peningkatan Peran Serta Organisasi Kemasyarakatan Tingkat Daerah Kabupaten/ Kota dalam Pelaksanaan Pelayanan dan Pembinaan Kesertaan Ber-KB</v>
          </cell>
        </row>
        <row r="65">
          <cell r="B65" t="str">
            <v>Penguatan Peran Serta Organisasi Kemasyarakatan dan Mitra Kerja Lainnya dalam Pelaksanaan Pelayanan dan Pembinaan Kesertaan Ber-KB</v>
          </cell>
          <cell r="D65" t="str">
            <v>Jumlah Organisasi yang Mendapatkan Penguatan Peran Serta Organisasi Kemasyarakatan dan Mitra Kerja Lainnya dalam Pelaksanaan Pelayanan dan Pembinaan Kesertaan Ber-KB</v>
          </cell>
        </row>
        <row r="70">
          <cell r="B70" t="str">
            <v>Pelaksanaan Pembangunan Keluarga Melalui Pembinaan Ketahanan dan Kesejahteraan Keluarga</v>
          </cell>
        </row>
        <row r="76">
          <cell r="B76" t="str">
            <v>Penyediaan Biaya Operasional bagi Kelompok Kegiatan Ketahanan dan Kesejahteraan Keluarga (BKB, BKR, BKL, PPPKS, PIK-R dan Pemberdayaan Ekonomi Keluarga/UPPKS)</v>
          </cell>
          <cell r="D76" t="str">
            <v>Jumlah Kelompok Kegiatan Ketahanan dan Kesejahteraan Keluarga (BKB, BKR, BKL, PPPKS, PIK-R dan Pemberdayaan Ekonomi Keluarga/UPPKS)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13"/>
  <sheetViews>
    <sheetView workbookViewId="0">
      <selection activeCell="F13" sqref="F13:F14"/>
    </sheetView>
  </sheetViews>
  <sheetFormatPr defaultRowHeight="13.2" x14ac:dyDescent="0.25"/>
  <cols>
    <col min="1" max="1" width="6.6640625" customWidth="1"/>
    <col min="2" max="2" width="34.6640625" customWidth="1"/>
    <col min="3" max="3" width="21.33203125" customWidth="1"/>
    <col min="4" max="4" width="22.6640625" customWidth="1"/>
    <col min="5" max="5" width="8.33203125" customWidth="1"/>
    <col min="6" max="6" width="30.44140625" customWidth="1"/>
    <col min="7" max="7" width="15.6640625" customWidth="1"/>
    <col min="8" max="8" width="14.33203125" customWidth="1"/>
    <col min="9" max="9" width="16.33203125" customWidth="1"/>
    <col min="10" max="10" width="11.109375" customWidth="1"/>
  </cols>
  <sheetData>
    <row r="2" spans="1:15" ht="13.8" x14ac:dyDescent="0.25">
      <c r="A2" s="761" t="s">
        <v>220</v>
      </c>
      <c r="B2" s="761"/>
      <c r="C2" s="761"/>
      <c r="D2" s="761"/>
      <c r="E2" s="761"/>
      <c r="F2" s="761"/>
      <c r="G2" s="761"/>
      <c r="H2" s="761"/>
      <c r="I2" s="761"/>
      <c r="J2" s="761"/>
    </row>
    <row r="3" spans="1:15" ht="13.8" x14ac:dyDescent="0.25">
      <c r="A3" s="761" t="s">
        <v>232</v>
      </c>
      <c r="B3" s="761"/>
      <c r="C3" s="761"/>
      <c r="D3" s="761"/>
      <c r="E3" s="761"/>
      <c r="F3" s="761"/>
      <c r="G3" s="761"/>
      <c r="H3" s="761"/>
      <c r="I3" s="761"/>
      <c r="J3" s="761"/>
    </row>
    <row r="4" spans="1:15" ht="13.8" x14ac:dyDescent="0.25">
      <c r="A4" s="761" t="s">
        <v>4</v>
      </c>
      <c r="B4" s="761"/>
      <c r="C4" s="761"/>
      <c r="D4" s="761"/>
      <c r="E4" s="761"/>
      <c r="F4" s="761"/>
      <c r="G4" s="761"/>
      <c r="H4" s="761"/>
      <c r="I4" s="761"/>
      <c r="J4" s="761"/>
    </row>
    <row r="6" spans="1:15" ht="12.75" customHeight="1" x14ac:dyDescent="0.25">
      <c r="A6" s="730" t="s">
        <v>197</v>
      </c>
      <c r="B6" s="727" t="s">
        <v>213</v>
      </c>
      <c r="C6" s="99"/>
      <c r="D6" s="722" t="s">
        <v>214</v>
      </c>
      <c r="E6" s="741"/>
      <c r="F6" s="741"/>
      <c r="G6" s="723"/>
      <c r="H6" s="762" t="s">
        <v>212</v>
      </c>
      <c r="I6" s="730" t="s">
        <v>219</v>
      </c>
      <c r="J6" s="727" t="s">
        <v>201</v>
      </c>
    </row>
    <row r="7" spans="1:15" x14ac:dyDescent="0.25">
      <c r="A7" s="740"/>
      <c r="B7" s="728"/>
      <c r="C7" s="740" t="s">
        <v>198</v>
      </c>
      <c r="D7" s="744" t="s">
        <v>199</v>
      </c>
      <c r="E7" s="745"/>
      <c r="F7" s="744" t="s">
        <v>211</v>
      </c>
      <c r="G7" s="745"/>
      <c r="H7" s="763"/>
      <c r="I7" s="731"/>
      <c r="J7" s="728"/>
    </row>
    <row r="8" spans="1:15" x14ac:dyDescent="0.25">
      <c r="A8" s="731"/>
      <c r="B8" s="729"/>
      <c r="C8" s="731"/>
      <c r="D8" s="100" t="s">
        <v>200</v>
      </c>
      <c r="E8" s="100" t="s">
        <v>74</v>
      </c>
      <c r="F8" s="100" t="s">
        <v>200</v>
      </c>
      <c r="G8" s="100" t="s">
        <v>74</v>
      </c>
      <c r="H8" s="101" t="s">
        <v>203</v>
      </c>
      <c r="I8" s="101" t="s">
        <v>218</v>
      </c>
      <c r="J8" s="729"/>
    </row>
    <row r="9" spans="1:15" x14ac:dyDescent="0.25">
      <c r="A9" s="20">
        <v>1</v>
      </c>
      <c r="B9" s="59">
        <v>2</v>
      </c>
      <c r="C9" s="72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</row>
    <row r="10" spans="1:15" x14ac:dyDescent="0.25">
      <c r="A10" s="22"/>
      <c r="B10" s="32" t="s">
        <v>229</v>
      </c>
      <c r="C10" s="22"/>
      <c r="D10" s="22"/>
      <c r="E10" s="22"/>
      <c r="F10" s="22"/>
      <c r="G10" s="22"/>
      <c r="H10" s="22"/>
      <c r="I10" s="22"/>
      <c r="J10" s="22"/>
    </row>
    <row r="11" spans="1:15" x14ac:dyDescent="0.25">
      <c r="A11" s="117" t="s">
        <v>124</v>
      </c>
      <c r="B11" s="764" t="s">
        <v>0</v>
      </c>
      <c r="C11" s="22"/>
      <c r="D11" s="737" t="s">
        <v>41</v>
      </c>
      <c r="E11" s="73">
        <v>1</v>
      </c>
      <c r="F11" s="22"/>
      <c r="G11" s="22"/>
      <c r="H11" s="22"/>
      <c r="I11" s="29"/>
      <c r="J11" s="25" t="s">
        <v>17</v>
      </c>
      <c r="L11" s="1" t="s">
        <v>17</v>
      </c>
    </row>
    <row r="12" spans="1:15" x14ac:dyDescent="0.25">
      <c r="A12" s="22" t="s">
        <v>17</v>
      </c>
      <c r="B12" s="764"/>
      <c r="C12" s="22"/>
      <c r="D12" s="737"/>
      <c r="E12" s="22"/>
      <c r="F12" s="25" t="s">
        <v>17</v>
      </c>
      <c r="G12" s="22"/>
      <c r="H12" s="22"/>
      <c r="I12" s="22"/>
      <c r="J12" s="22"/>
      <c r="K12" s="1" t="s">
        <v>17</v>
      </c>
    </row>
    <row r="13" spans="1:15" ht="15.6" x14ac:dyDescent="0.25">
      <c r="A13" s="22">
        <v>1</v>
      </c>
      <c r="B13" s="25" t="s">
        <v>6</v>
      </c>
      <c r="C13" s="29" t="s">
        <v>227</v>
      </c>
      <c r="D13" s="7" t="s">
        <v>17</v>
      </c>
      <c r="E13" s="29"/>
      <c r="F13" s="736" t="s">
        <v>7</v>
      </c>
      <c r="G13" s="29" t="s">
        <v>119</v>
      </c>
      <c r="H13" s="60">
        <v>1650000</v>
      </c>
      <c r="I13" s="60">
        <v>1650000</v>
      </c>
      <c r="J13" s="29" t="s">
        <v>202</v>
      </c>
    </row>
    <row r="14" spans="1:15" ht="15.6" x14ac:dyDescent="0.25">
      <c r="A14" s="22"/>
      <c r="B14" s="25"/>
      <c r="C14" s="114"/>
      <c r="D14" s="10" t="s">
        <v>17</v>
      </c>
      <c r="E14" s="29"/>
      <c r="F14" s="736"/>
      <c r="G14" s="29" t="s">
        <v>118</v>
      </c>
      <c r="H14" s="25"/>
      <c r="I14" s="25"/>
      <c r="J14" s="22"/>
    </row>
    <row r="15" spans="1:15" ht="8.25" customHeight="1" x14ac:dyDescent="0.25">
      <c r="A15" s="22"/>
      <c r="B15" s="26"/>
      <c r="C15" s="114"/>
      <c r="D15" s="12"/>
      <c r="E15" s="26"/>
      <c r="F15" s="26"/>
      <c r="G15" s="26"/>
      <c r="H15" s="60"/>
      <c r="I15" s="25"/>
      <c r="J15" s="22"/>
      <c r="O15" s="1" t="s">
        <v>17</v>
      </c>
    </row>
    <row r="16" spans="1:15" ht="15" x14ac:dyDescent="0.25">
      <c r="A16" s="22">
        <v>2</v>
      </c>
      <c r="B16" s="736" t="s">
        <v>8</v>
      </c>
      <c r="C16" s="29" t="s">
        <v>227</v>
      </c>
      <c r="D16" s="13"/>
      <c r="E16" s="29"/>
      <c r="F16" s="736" t="s">
        <v>9</v>
      </c>
      <c r="G16" s="29" t="s">
        <v>16</v>
      </c>
      <c r="H16" s="60">
        <v>69000000</v>
      </c>
      <c r="I16" s="60">
        <v>69000000</v>
      </c>
      <c r="J16" s="29" t="s">
        <v>202</v>
      </c>
    </row>
    <row r="17" spans="1:12" ht="15" x14ac:dyDescent="0.25">
      <c r="A17" s="22"/>
      <c r="B17" s="736"/>
      <c r="C17" s="114"/>
      <c r="D17" s="3"/>
      <c r="E17" s="29"/>
      <c r="F17" s="736"/>
      <c r="G17" s="22"/>
      <c r="H17" s="25"/>
      <c r="I17" s="25"/>
      <c r="J17" s="22"/>
      <c r="L17" s="1" t="s">
        <v>17</v>
      </c>
    </row>
    <row r="18" spans="1:12" ht="6" customHeight="1" x14ac:dyDescent="0.25">
      <c r="A18" s="22"/>
      <c r="B18" s="28"/>
      <c r="C18" s="114"/>
      <c r="D18" s="11"/>
      <c r="E18" s="29"/>
      <c r="F18" s="28"/>
      <c r="G18" s="22"/>
      <c r="H18" s="60"/>
      <c r="I18" s="25"/>
      <c r="J18" s="22"/>
      <c r="K18" s="1" t="s">
        <v>17</v>
      </c>
    </row>
    <row r="19" spans="1:12" ht="15.75" customHeight="1" x14ac:dyDescent="0.25">
      <c r="A19" s="22">
        <v>3</v>
      </c>
      <c r="B19" s="739" t="s">
        <v>10</v>
      </c>
      <c r="C19" s="51" t="s">
        <v>227</v>
      </c>
      <c r="D19" s="14"/>
      <c r="E19" s="51"/>
      <c r="F19" s="736" t="s">
        <v>98</v>
      </c>
      <c r="G19" s="51" t="s">
        <v>16</v>
      </c>
      <c r="H19" s="63">
        <v>65000000</v>
      </c>
      <c r="I19" s="60">
        <v>70000000</v>
      </c>
      <c r="J19" s="29" t="s">
        <v>202</v>
      </c>
    </row>
    <row r="20" spans="1:12" ht="12" customHeight="1" x14ac:dyDescent="0.25">
      <c r="A20" s="22"/>
      <c r="B20" s="739"/>
      <c r="C20" s="114"/>
      <c r="D20" s="14" t="s">
        <v>17</v>
      </c>
      <c r="E20" s="51"/>
      <c r="F20" s="736"/>
      <c r="G20" s="51"/>
      <c r="H20" s="63"/>
      <c r="I20" s="25"/>
      <c r="J20" s="29"/>
    </row>
    <row r="21" spans="1:12" ht="15" x14ac:dyDescent="0.25">
      <c r="A21" s="22"/>
      <c r="B21" s="47"/>
      <c r="C21" s="29"/>
      <c r="D21" s="4"/>
      <c r="E21" s="29"/>
      <c r="F21" s="25"/>
      <c r="G21" s="29"/>
      <c r="H21" s="60"/>
      <c r="I21" s="60"/>
      <c r="J21" s="29"/>
    </row>
    <row r="22" spans="1:12" ht="15" x14ac:dyDescent="0.25">
      <c r="A22" s="22">
        <v>4</v>
      </c>
      <c r="B22" s="25" t="s">
        <v>11</v>
      </c>
      <c r="C22" s="29" t="s">
        <v>227</v>
      </c>
      <c r="D22" s="9"/>
      <c r="E22" s="29"/>
      <c r="F22" s="736" t="s">
        <v>99</v>
      </c>
      <c r="G22" s="29" t="s">
        <v>16</v>
      </c>
      <c r="H22" s="60">
        <v>16000000</v>
      </c>
      <c r="I22" s="60">
        <v>16000000</v>
      </c>
      <c r="J22" s="29" t="s">
        <v>202</v>
      </c>
      <c r="L22" s="1" t="s">
        <v>17</v>
      </c>
    </row>
    <row r="23" spans="1:12" ht="15" x14ac:dyDescent="0.25">
      <c r="A23" s="22"/>
      <c r="B23" s="25"/>
      <c r="C23" s="114"/>
      <c r="D23" s="4"/>
      <c r="E23" s="29"/>
      <c r="F23" s="736"/>
      <c r="G23" s="29"/>
      <c r="H23" s="22"/>
      <c r="I23" s="25"/>
      <c r="J23" s="29"/>
    </row>
    <row r="24" spans="1:12" ht="15" x14ac:dyDescent="0.25">
      <c r="A24" s="22"/>
      <c r="B24" s="29"/>
      <c r="C24" s="29"/>
      <c r="D24" s="6"/>
      <c r="E24" s="29"/>
      <c r="F24" s="29"/>
      <c r="G24" s="29"/>
      <c r="H24" s="22"/>
      <c r="I24" s="60"/>
      <c r="J24" s="29"/>
    </row>
    <row r="25" spans="1:12" ht="18" customHeight="1" x14ac:dyDescent="0.25">
      <c r="A25" s="22">
        <v>5</v>
      </c>
      <c r="B25" s="25" t="s">
        <v>12</v>
      </c>
      <c r="C25" s="29" t="s">
        <v>227</v>
      </c>
      <c r="D25" s="9"/>
      <c r="E25" s="29"/>
      <c r="F25" s="31" t="s">
        <v>13</v>
      </c>
      <c r="G25" s="29" t="s">
        <v>16</v>
      </c>
      <c r="H25" s="60">
        <v>51000000</v>
      </c>
      <c r="I25" s="60">
        <v>51000000</v>
      </c>
      <c r="J25" s="29" t="s">
        <v>202</v>
      </c>
    </row>
    <row r="26" spans="1:12" ht="15" x14ac:dyDescent="0.25">
      <c r="A26" s="22"/>
      <c r="B26" s="25"/>
      <c r="C26" s="29"/>
      <c r="D26" s="4"/>
      <c r="E26" s="29"/>
      <c r="F26" s="25"/>
      <c r="G26" s="29"/>
      <c r="H26" s="60"/>
      <c r="I26" s="60"/>
      <c r="J26" s="29"/>
    </row>
    <row r="27" spans="1:12" ht="15" x14ac:dyDescent="0.25">
      <c r="A27" s="22">
        <v>6</v>
      </c>
      <c r="B27" s="736" t="s">
        <v>101</v>
      </c>
      <c r="C27" s="29" t="s">
        <v>227</v>
      </c>
      <c r="D27" s="13"/>
      <c r="E27" s="29"/>
      <c r="F27" s="736" t="s">
        <v>14</v>
      </c>
      <c r="G27" s="29" t="s">
        <v>16</v>
      </c>
      <c r="H27" s="60">
        <v>23500000</v>
      </c>
      <c r="I27" s="60">
        <v>23500000</v>
      </c>
      <c r="J27" s="29" t="s">
        <v>202</v>
      </c>
    </row>
    <row r="28" spans="1:12" ht="15" x14ac:dyDescent="0.25">
      <c r="A28" s="22"/>
      <c r="B28" s="736"/>
      <c r="C28" s="114"/>
      <c r="D28" s="3"/>
      <c r="E28" s="29"/>
      <c r="F28" s="736"/>
      <c r="G28" s="29"/>
      <c r="H28" s="25"/>
      <c r="I28" s="60"/>
      <c r="J28" s="29"/>
    </row>
    <row r="29" spans="1:12" ht="15" x14ac:dyDescent="0.25">
      <c r="A29" s="22"/>
      <c r="B29" s="25"/>
      <c r="C29" s="29"/>
      <c r="D29" s="4"/>
      <c r="E29" s="29"/>
      <c r="F29" s="25"/>
      <c r="G29" s="29"/>
      <c r="H29" s="60"/>
      <c r="I29" s="60"/>
      <c r="J29" s="29"/>
    </row>
    <row r="30" spans="1:12" ht="15" x14ac:dyDescent="0.25">
      <c r="A30" s="22">
        <v>7</v>
      </c>
      <c r="B30" s="736" t="s">
        <v>100</v>
      </c>
      <c r="C30" s="29" t="s">
        <v>227</v>
      </c>
      <c r="D30" s="8"/>
      <c r="E30" s="29"/>
      <c r="F30" s="736" t="s">
        <v>99</v>
      </c>
      <c r="G30" s="29" t="s">
        <v>16</v>
      </c>
      <c r="H30" s="60">
        <v>12800000</v>
      </c>
      <c r="I30" s="60">
        <v>12800000</v>
      </c>
      <c r="J30" s="29" t="s">
        <v>202</v>
      </c>
    </row>
    <row r="31" spans="1:12" ht="15" x14ac:dyDescent="0.25">
      <c r="A31" s="22"/>
      <c r="B31" s="736"/>
      <c r="C31" s="114"/>
      <c r="D31" s="4"/>
      <c r="E31" s="29" t="s">
        <v>17</v>
      </c>
      <c r="F31" s="736"/>
      <c r="G31" s="29" t="s">
        <v>17</v>
      </c>
      <c r="H31" s="22"/>
      <c r="I31" s="60"/>
      <c r="J31" s="29"/>
    </row>
    <row r="32" spans="1:12" ht="15" x14ac:dyDescent="0.25">
      <c r="A32" s="22"/>
      <c r="B32" s="25"/>
      <c r="C32" s="29"/>
      <c r="D32" s="4" t="s">
        <v>17</v>
      </c>
      <c r="E32" s="29"/>
      <c r="F32" s="25"/>
      <c r="G32" s="29"/>
      <c r="H32" s="25" t="s">
        <v>17</v>
      </c>
      <c r="I32" s="29"/>
      <c r="J32" s="29"/>
    </row>
    <row r="33" spans="1:11" ht="15" x14ac:dyDescent="0.25">
      <c r="A33" s="22">
        <v>8</v>
      </c>
      <c r="B33" s="736" t="s">
        <v>15</v>
      </c>
      <c r="C33" s="29" t="s">
        <v>227</v>
      </c>
      <c r="D33" s="13"/>
      <c r="E33" s="29"/>
      <c r="F33" s="736" t="s">
        <v>102</v>
      </c>
      <c r="G33" s="29" t="s">
        <v>117</v>
      </c>
      <c r="H33" s="60">
        <v>6000000</v>
      </c>
      <c r="I33" s="60">
        <v>6000000</v>
      </c>
      <c r="J33" s="29" t="s">
        <v>202</v>
      </c>
    </row>
    <row r="34" spans="1:11" ht="15" x14ac:dyDescent="0.25">
      <c r="A34" s="22"/>
      <c r="B34" s="736"/>
      <c r="C34" s="114"/>
      <c r="D34" s="3" t="s">
        <v>17</v>
      </c>
      <c r="E34" s="29"/>
      <c r="F34" s="736"/>
      <c r="G34" s="29" t="s">
        <v>116</v>
      </c>
      <c r="H34" s="60"/>
      <c r="I34" s="29"/>
      <c r="J34" s="29"/>
    </row>
    <row r="35" spans="1:11" ht="15" x14ac:dyDescent="0.25">
      <c r="A35" s="22"/>
      <c r="B35" s="25"/>
      <c r="C35" s="29"/>
      <c r="D35" s="4"/>
      <c r="E35" s="29"/>
      <c r="F35" s="25"/>
      <c r="G35" s="29"/>
      <c r="H35" s="60"/>
      <c r="I35" s="60"/>
      <c r="J35" s="29"/>
    </row>
    <row r="36" spans="1:11" ht="12.75" customHeight="1" x14ac:dyDescent="0.25">
      <c r="A36" s="22">
        <v>9</v>
      </c>
      <c r="B36" s="736" t="s">
        <v>103</v>
      </c>
      <c r="C36" s="29" t="s">
        <v>227</v>
      </c>
      <c r="D36" s="9"/>
      <c r="E36" s="29"/>
      <c r="F36" s="31" t="s">
        <v>104</v>
      </c>
      <c r="G36" s="29" t="s">
        <v>105</v>
      </c>
      <c r="H36" s="60">
        <v>4200000</v>
      </c>
      <c r="I36" s="60">
        <v>4200000</v>
      </c>
      <c r="J36" s="29" t="s">
        <v>202</v>
      </c>
      <c r="K36" s="1" t="s">
        <v>17</v>
      </c>
    </row>
    <row r="37" spans="1:11" ht="15" x14ac:dyDescent="0.25">
      <c r="A37" s="22"/>
      <c r="B37" s="736"/>
      <c r="C37" s="114"/>
      <c r="D37" s="4"/>
      <c r="E37" s="29"/>
      <c r="F37" s="31"/>
      <c r="G37" s="29"/>
      <c r="H37" s="60"/>
      <c r="I37" s="25"/>
      <c r="J37" s="29"/>
      <c r="K37" s="1" t="s">
        <v>17</v>
      </c>
    </row>
    <row r="38" spans="1:11" ht="15" x14ac:dyDescent="0.25">
      <c r="A38" s="22"/>
      <c r="B38" s="25"/>
      <c r="C38" s="29"/>
      <c r="D38" s="4"/>
      <c r="E38" s="29" t="s">
        <v>17</v>
      </c>
      <c r="F38" s="25"/>
      <c r="G38" s="29"/>
      <c r="H38" s="25"/>
      <c r="I38" s="60"/>
      <c r="J38" s="29"/>
    </row>
    <row r="39" spans="1:11" ht="15" x14ac:dyDescent="0.25">
      <c r="A39" s="22">
        <v>10</v>
      </c>
      <c r="B39" s="736" t="s">
        <v>92</v>
      </c>
      <c r="C39" s="29" t="s">
        <v>227</v>
      </c>
      <c r="D39" s="13"/>
      <c r="E39" s="29"/>
      <c r="F39" s="736" t="s">
        <v>106</v>
      </c>
      <c r="G39" s="29" t="s">
        <v>18</v>
      </c>
      <c r="H39" s="60">
        <v>150000000</v>
      </c>
      <c r="I39" s="60">
        <v>150000000</v>
      </c>
      <c r="J39" s="29" t="s">
        <v>202</v>
      </c>
    </row>
    <row r="40" spans="1:11" ht="15" x14ac:dyDescent="0.25">
      <c r="A40" s="22"/>
      <c r="B40" s="736"/>
      <c r="C40" s="114"/>
      <c r="D40" s="3" t="s">
        <v>17</v>
      </c>
      <c r="E40" s="29"/>
      <c r="F40" s="736"/>
      <c r="G40" s="29"/>
      <c r="H40" s="22"/>
      <c r="I40" s="25"/>
      <c r="J40" s="22"/>
    </row>
    <row r="41" spans="1:11" ht="15" x14ac:dyDescent="0.25">
      <c r="A41" s="22"/>
      <c r="B41" s="25"/>
      <c r="C41" s="29"/>
      <c r="D41" s="4"/>
      <c r="E41" s="29"/>
      <c r="F41" s="25"/>
      <c r="G41" s="29"/>
      <c r="H41" s="22"/>
      <c r="I41" s="60"/>
      <c r="J41" s="22"/>
    </row>
    <row r="42" spans="1:11" ht="15" x14ac:dyDescent="0.25">
      <c r="A42" s="22">
        <v>11</v>
      </c>
      <c r="B42" s="25" t="s">
        <v>19</v>
      </c>
      <c r="C42" s="29" t="s">
        <v>227</v>
      </c>
      <c r="D42" s="9"/>
      <c r="E42" s="29"/>
      <c r="F42" s="25" t="s">
        <v>20</v>
      </c>
      <c r="G42" s="29" t="s">
        <v>18</v>
      </c>
      <c r="H42" s="60">
        <v>4000000</v>
      </c>
      <c r="I42" s="60">
        <v>4000000</v>
      </c>
      <c r="J42" s="29" t="s">
        <v>202</v>
      </c>
    </row>
    <row r="43" spans="1:11" ht="15" x14ac:dyDescent="0.25">
      <c r="A43" s="22"/>
      <c r="B43" s="25"/>
      <c r="C43" s="22"/>
      <c r="D43" s="4"/>
      <c r="E43" s="4"/>
      <c r="F43" s="25" t="s">
        <v>17</v>
      </c>
      <c r="G43" s="22"/>
      <c r="H43" s="22"/>
      <c r="I43" s="25"/>
      <c r="J43" s="22"/>
    </row>
    <row r="44" spans="1:11" ht="15" x14ac:dyDescent="0.25">
      <c r="A44" s="22"/>
      <c r="B44" s="30"/>
      <c r="C44" s="22"/>
      <c r="D44" s="22"/>
      <c r="E44" s="4"/>
      <c r="F44" s="30"/>
      <c r="G44" s="22"/>
      <c r="H44" s="25" t="s">
        <v>17</v>
      </c>
      <c r="I44" s="60"/>
      <c r="J44" s="25" t="s">
        <v>17</v>
      </c>
      <c r="K44" s="1" t="s">
        <v>17</v>
      </c>
    </row>
    <row r="45" spans="1:11" ht="15" x14ac:dyDescent="0.25">
      <c r="A45" s="22"/>
      <c r="B45" s="30"/>
      <c r="C45" s="22"/>
      <c r="D45" s="22"/>
      <c r="E45" s="4"/>
      <c r="F45" s="30" t="s">
        <v>17</v>
      </c>
      <c r="G45" s="22"/>
      <c r="H45" s="25"/>
      <c r="I45" s="25"/>
      <c r="J45" s="22"/>
    </row>
    <row r="46" spans="1:11" ht="15" x14ac:dyDescent="0.25">
      <c r="A46" s="23"/>
      <c r="B46" s="74"/>
      <c r="C46" s="23"/>
      <c r="D46" s="23"/>
      <c r="E46" s="16"/>
      <c r="F46" s="74"/>
      <c r="G46" s="23"/>
      <c r="H46" s="75"/>
      <c r="I46" s="75"/>
      <c r="J46" s="23"/>
    </row>
    <row r="47" spans="1:11" ht="15" x14ac:dyDescent="0.25">
      <c r="A47" s="71"/>
      <c r="B47" s="119"/>
      <c r="C47" s="71"/>
      <c r="D47" s="71"/>
      <c r="E47" s="78"/>
      <c r="F47" s="119"/>
      <c r="G47" s="71"/>
      <c r="H47" s="79"/>
      <c r="I47" s="79"/>
      <c r="J47" s="71"/>
    </row>
    <row r="48" spans="1:11" ht="15" x14ac:dyDescent="0.25">
      <c r="B48" s="76"/>
      <c r="D48" s="1" t="s">
        <v>17</v>
      </c>
      <c r="E48" s="15"/>
      <c r="F48" s="76"/>
      <c r="H48" s="1"/>
      <c r="I48" s="1" t="s">
        <v>17</v>
      </c>
    </row>
    <row r="49" spans="1:10" ht="15" x14ac:dyDescent="0.25">
      <c r="B49" s="76"/>
      <c r="D49" s="1"/>
      <c r="E49" s="15"/>
      <c r="F49" s="76"/>
      <c r="H49" s="1"/>
      <c r="I49" s="118"/>
    </row>
    <row r="50" spans="1:10" ht="15" x14ac:dyDescent="0.25">
      <c r="B50" s="76"/>
      <c r="D50" s="1"/>
      <c r="E50" s="15"/>
      <c r="F50" s="76"/>
      <c r="H50" s="1"/>
      <c r="I50" s="118"/>
    </row>
    <row r="51" spans="1:10" ht="15" customHeight="1" x14ac:dyDescent="0.25">
      <c r="A51" s="746">
        <v>2</v>
      </c>
      <c r="B51" s="746"/>
      <c r="C51" s="746"/>
      <c r="D51" s="746"/>
      <c r="E51" s="746"/>
      <c r="F51" s="746"/>
      <c r="G51" s="746"/>
      <c r="H51" s="746"/>
      <c r="I51" s="746"/>
      <c r="J51" s="746"/>
    </row>
    <row r="52" spans="1:10" ht="12.75" customHeight="1" x14ac:dyDescent="0.25">
      <c r="A52" s="730" t="s">
        <v>197</v>
      </c>
      <c r="B52" s="98"/>
      <c r="C52" s="99"/>
      <c r="D52" s="756" t="s">
        <v>214</v>
      </c>
      <c r="E52" s="757"/>
      <c r="F52" s="757"/>
      <c r="G52" s="758"/>
      <c r="H52" s="734" t="s">
        <v>212</v>
      </c>
      <c r="I52" s="732" t="s">
        <v>219</v>
      </c>
      <c r="J52" s="21"/>
    </row>
    <row r="53" spans="1:10" x14ac:dyDescent="0.25">
      <c r="A53" s="740"/>
      <c r="B53" s="742" t="s">
        <v>213</v>
      </c>
      <c r="C53" s="740" t="s">
        <v>198</v>
      </c>
      <c r="D53" s="744" t="s">
        <v>199</v>
      </c>
      <c r="E53" s="745"/>
      <c r="F53" s="744" t="s">
        <v>211</v>
      </c>
      <c r="G53" s="745"/>
      <c r="H53" s="735"/>
      <c r="I53" s="733"/>
      <c r="J53" s="22"/>
    </row>
    <row r="54" spans="1:10" x14ac:dyDescent="0.25">
      <c r="A54" s="731"/>
      <c r="B54" s="743"/>
      <c r="C54" s="731"/>
      <c r="D54" s="100" t="s">
        <v>200</v>
      </c>
      <c r="E54" s="100" t="s">
        <v>74</v>
      </c>
      <c r="F54" s="100" t="s">
        <v>200</v>
      </c>
      <c r="G54" s="100" t="s">
        <v>74</v>
      </c>
      <c r="H54" s="101" t="s">
        <v>203</v>
      </c>
      <c r="I54" s="101" t="s">
        <v>218</v>
      </c>
      <c r="J54" s="23"/>
    </row>
    <row r="55" spans="1:10" x14ac:dyDescent="0.25">
      <c r="A55" s="20">
        <v>1</v>
      </c>
      <c r="B55" s="59">
        <v>2</v>
      </c>
      <c r="C55" s="72">
        <v>3</v>
      </c>
      <c r="D55" s="20">
        <v>4</v>
      </c>
      <c r="E55" s="20">
        <v>5</v>
      </c>
      <c r="F55" s="20">
        <v>6</v>
      </c>
      <c r="G55" s="20">
        <v>7</v>
      </c>
      <c r="H55" s="20">
        <v>8</v>
      </c>
      <c r="I55" s="20">
        <v>9</v>
      </c>
      <c r="J55" s="20">
        <v>10</v>
      </c>
    </row>
    <row r="56" spans="1:10" x14ac:dyDescent="0.25">
      <c r="A56" s="117" t="s">
        <v>125</v>
      </c>
      <c r="B56" s="742" t="s">
        <v>21</v>
      </c>
      <c r="C56" s="22"/>
      <c r="D56" s="759" t="s">
        <v>168</v>
      </c>
      <c r="E56" s="52">
        <v>1</v>
      </c>
      <c r="F56" s="30"/>
      <c r="G56" s="22"/>
      <c r="H56" s="25"/>
      <c r="I56" s="22"/>
      <c r="J56" s="22"/>
    </row>
    <row r="57" spans="1:10" ht="15" x14ac:dyDescent="0.25">
      <c r="A57" s="22"/>
      <c r="B57" s="742"/>
      <c r="C57" s="22"/>
      <c r="D57" s="759"/>
      <c r="E57" s="4"/>
      <c r="F57" s="30"/>
      <c r="G57" s="22"/>
      <c r="H57" s="25"/>
      <c r="I57" s="22"/>
      <c r="J57" s="22"/>
    </row>
    <row r="58" spans="1:10" ht="15" x14ac:dyDescent="0.25">
      <c r="A58" s="22"/>
      <c r="B58" s="30"/>
      <c r="C58" s="22"/>
      <c r="D58" s="759"/>
      <c r="E58" s="4"/>
      <c r="F58" s="30"/>
      <c r="G58" s="22"/>
      <c r="H58" s="22"/>
      <c r="I58" s="22"/>
      <c r="J58" s="22"/>
    </row>
    <row r="59" spans="1:10" ht="15" x14ac:dyDescent="0.25">
      <c r="A59" s="22">
        <v>12</v>
      </c>
      <c r="B59" s="736" t="s">
        <v>22</v>
      </c>
      <c r="C59" s="29" t="s">
        <v>227</v>
      </c>
      <c r="D59" s="22"/>
      <c r="E59" s="4"/>
      <c r="F59" s="736" t="s">
        <v>107</v>
      </c>
      <c r="G59" s="4" t="s">
        <v>72</v>
      </c>
      <c r="H59" s="22">
        <v>0</v>
      </c>
      <c r="I59" s="22"/>
      <c r="J59" s="22"/>
    </row>
    <row r="60" spans="1:10" ht="15" x14ac:dyDescent="0.25">
      <c r="A60" s="22"/>
      <c r="B60" s="736"/>
      <c r="C60" s="25" t="s">
        <v>17</v>
      </c>
      <c r="D60" s="22"/>
      <c r="E60" s="4"/>
      <c r="F60" s="736"/>
      <c r="G60" s="4"/>
      <c r="H60" s="22"/>
      <c r="I60" s="22"/>
      <c r="J60" s="22"/>
    </row>
    <row r="61" spans="1:10" ht="15" x14ac:dyDescent="0.25">
      <c r="A61" s="22"/>
      <c r="B61" s="22"/>
      <c r="C61" s="22"/>
      <c r="D61" s="25" t="s">
        <v>17</v>
      </c>
      <c r="E61" s="4"/>
      <c r="F61" s="736"/>
      <c r="G61" s="4" t="s">
        <v>72</v>
      </c>
      <c r="H61" s="22"/>
      <c r="I61" s="22"/>
      <c r="J61" s="25" t="s">
        <v>17</v>
      </c>
    </row>
    <row r="62" spans="1:10" ht="15" x14ac:dyDescent="0.25">
      <c r="A62" s="22"/>
      <c r="B62" s="31"/>
      <c r="C62" s="22"/>
      <c r="D62" s="22"/>
      <c r="E62" s="4"/>
      <c r="F62" s="22"/>
      <c r="G62" s="4"/>
      <c r="H62" s="22"/>
      <c r="I62" s="22"/>
      <c r="J62" s="22"/>
    </row>
    <row r="63" spans="1:10" ht="15" customHeight="1" x14ac:dyDescent="0.25">
      <c r="A63" s="22">
        <v>13</v>
      </c>
      <c r="B63" s="736" t="s">
        <v>23</v>
      </c>
      <c r="C63" s="29" t="s">
        <v>227</v>
      </c>
      <c r="D63" s="22"/>
      <c r="E63" s="4"/>
      <c r="F63" s="736" t="s">
        <v>108</v>
      </c>
      <c r="G63" s="31" t="s">
        <v>75</v>
      </c>
      <c r="H63" s="60">
        <v>3300000</v>
      </c>
      <c r="I63" s="102">
        <v>30000000</v>
      </c>
      <c r="J63" s="29" t="s">
        <v>202</v>
      </c>
    </row>
    <row r="64" spans="1:10" ht="15" x14ac:dyDescent="0.25">
      <c r="A64" s="22"/>
      <c r="B64" s="736"/>
      <c r="C64" s="22"/>
      <c r="D64" s="22"/>
      <c r="E64" s="4"/>
      <c r="F64" s="736"/>
      <c r="G64" s="25" t="s">
        <v>76</v>
      </c>
      <c r="H64" s="25" t="s">
        <v>17</v>
      </c>
      <c r="I64" s="61" t="s">
        <v>17</v>
      </c>
      <c r="J64" s="22"/>
    </row>
    <row r="65" spans="1:10" ht="15" x14ac:dyDescent="0.25">
      <c r="A65" s="22"/>
      <c r="B65" s="25"/>
      <c r="C65" s="22"/>
      <c r="D65" s="22"/>
      <c r="E65" s="4"/>
      <c r="F65" s="45"/>
      <c r="G65" s="25" t="s">
        <v>77</v>
      </c>
      <c r="H65" s="60">
        <v>12000000</v>
      </c>
      <c r="I65" s="61">
        <v>0</v>
      </c>
      <c r="J65" s="22"/>
    </row>
    <row r="66" spans="1:10" ht="15" x14ac:dyDescent="0.25">
      <c r="A66" s="22"/>
      <c r="B66" s="25" t="s">
        <v>17</v>
      </c>
      <c r="C66" s="22"/>
      <c r="D66" s="25" t="s">
        <v>17</v>
      </c>
      <c r="E66" s="4"/>
      <c r="F66" s="31"/>
      <c r="G66" s="25" t="s">
        <v>95</v>
      </c>
      <c r="H66" s="61">
        <v>5000000</v>
      </c>
      <c r="I66" s="61">
        <v>0</v>
      </c>
      <c r="J66" s="22"/>
    </row>
    <row r="67" spans="1:10" ht="15" x14ac:dyDescent="0.25">
      <c r="A67" s="22"/>
      <c r="B67" s="25" t="s">
        <v>17</v>
      </c>
      <c r="C67" s="22"/>
      <c r="D67" s="25" t="s">
        <v>17</v>
      </c>
      <c r="E67" s="4"/>
      <c r="F67" s="31"/>
      <c r="G67" s="25" t="s">
        <v>94</v>
      </c>
      <c r="H67" s="22"/>
      <c r="I67" s="61" t="s">
        <v>17</v>
      </c>
      <c r="J67" s="22"/>
    </row>
    <row r="68" spans="1:10" x14ac:dyDescent="0.25">
      <c r="A68" s="22">
        <v>14</v>
      </c>
      <c r="B68" s="25" t="s">
        <v>24</v>
      </c>
      <c r="C68" s="29" t="s">
        <v>227</v>
      </c>
      <c r="D68" s="22"/>
      <c r="E68" s="25"/>
      <c r="F68" s="736" t="s">
        <v>109</v>
      </c>
      <c r="G68" s="739" t="s">
        <v>64</v>
      </c>
      <c r="H68" s="62">
        <v>8250000</v>
      </c>
      <c r="I68" s="61"/>
      <c r="J68" s="29" t="s">
        <v>202</v>
      </c>
    </row>
    <row r="69" spans="1:10" x14ac:dyDescent="0.25">
      <c r="A69" s="22"/>
      <c r="B69" s="25"/>
      <c r="C69" s="22"/>
      <c r="D69" s="22"/>
      <c r="E69" s="25" t="s">
        <v>17</v>
      </c>
      <c r="F69" s="736"/>
      <c r="G69" s="739"/>
      <c r="H69" s="37"/>
      <c r="I69" s="61"/>
      <c r="J69" s="22"/>
    </row>
    <row r="70" spans="1:10" ht="13.5" customHeight="1" x14ac:dyDescent="0.25">
      <c r="A70" s="22"/>
      <c r="B70" s="25"/>
      <c r="C70" s="22"/>
      <c r="D70" s="25" t="s">
        <v>17</v>
      </c>
      <c r="E70" s="22"/>
      <c r="F70" s="47"/>
      <c r="G70" s="31" t="s">
        <v>66</v>
      </c>
      <c r="H70" s="63">
        <v>22000000</v>
      </c>
      <c r="I70" s="61"/>
      <c r="J70" s="22"/>
    </row>
    <row r="71" spans="1:10" x14ac:dyDescent="0.25">
      <c r="A71" s="22"/>
      <c r="B71" s="25" t="s">
        <v>17</v>
      </c>
      <c r="C71" s="22"/>
      <c r="D71" s="22"/>
      <c r="E71" s="22"/>
      <c r="F71" s="37"/>
      <c r="G71" s="25" t="s">
        <v>65</v>
      </c>
      <c r="H71" s="60">
        <v>20000000</v>
      </c>
      <c r="I71" s="103">
        <v>8250000</v>
      </c>
      <c r="J71" s="22"/>
    </row>
    <row r="72" spans="1:10" x14ac:dyDescent="0.25">
      <c r="A72" s="22"/>
      <c r="B72" s="25"/>
      <c r="C72" s="22"/>
      <c r="D72" s="22"/>
      <c r="E72" s="22"/>
      <c r="F72" s="37"/>
      <c r="G72" s="25" t="s">
        <v>78</v>
      </c>
      <c r="H72" s="60">
        <v>8258800</v>
      </c>
      <c r="I72" s="22"/>
      <c r="J72" s="22"/>
    </row>
    <row r="73" spans="1:10" x14ac:dyDescent="0.25">
      <c r="A73" s="22"/>
      <c r="B73" s="25"/>
      <c r="C73" s="22"/>
      <c r="D73" s="22"/>
      <c r="E73" s="22"/>
      <c r="F73" s="31"/>
      <c r="G73" s="25" t="s">
        <v>79</v>
      </c>
      <c r="H73" s="60">
        <v>4500000</v>
      </c>
      <c r="I73" s="22"/>
      <c r="J73" s="22"/>
    </row>
    <row r="74" spans="1:10" x14ac:dyDescent="0.25">
      <c r="A74" s="22"/>
      <c r="B74" s="25"/>
      <c r="C74" s="22"/>
      <c r="D74" s="22"/>
      <c r="E74" s="22"/>
      <c r="F74" s="25" t="s">
        <v>17</v>
      </c>
      <c r="G74" s="22"/>
      <c r="H74" s="22"/>
      <c r="I74" s="22"/>
      <c r="J74" s="22"/>
    </row>
    <row r="75" spans="1:10" x14ac:dyDescent="0.25">
      <c r="A75" s="22">
        <v>15</v>
      </c>
      <c r="B75" s="760" t="s">
        <v>25</v>
      </c>
      <c r="C75" s="29" t="s">
        <v>227</v>
      </c>
      <c r="D75" s="22"/>
      <c r="E75" s="29"/>
      <c r="F75" s="736" t="s">
        <v>110</v>
      </c>
      <c r="G75" s="29" t="s">
        <v>62</v>
      </c>
      <c r="H75" s="61">
        <v>35000000</v>
      </c>
      <c r="I75" s="61">
        <v>60000000</v>
      </c>
      <c r="J75" s="29" t="s">
        <v>202</v>
      </c>
    </row>
    <row r="76" spans="1:10" x14ac:dyDescent="0.25">
      <c r="A76" s="22"/>
      <c r="B76" s="760"/>
      <c r="C76" s="22"/>
      <c r="D76" s="22"/>
      <c r="E76" s="29"/>
      <c r="F76" s="736"/>
      <c r="G76" s="29" t="s">
        <v>63</v>
      </c>
      <c r="H76" s="22"/>
      <c r="I76" s="61">
        <v>0</v>
      </c>
      <c r="J76" s="22"/>
    </row>
    <row r="77" spans="1:10" x14ac:dyDescent="0.25">
      <c r="A77" s="22"/>
      <c r="B77" s="25"/>
      <c r="C77" s="22"/>
      <c r="D77" s="22"/>
      <c r="E77" s="29"/>
      <c r="F77" s="31"/>
      <c r="G77" s="29"/>
      <c r="H77" s="22"/>
      <c r="I77" s="61"/>
      <c r="J77" s="22"/>
    </row>
    <row r="78" spans="1:10" x14ac:dyDescent="0.25">
      <c r="A78" s="22">
        <v>16</v>
      </c>
      <c r="B78" s="739" t="s">
        <v>26</v>
      </c>
      <c r="C78" s="29" t="s">
        <v>227</v>
      </c>
      <c r="D78" s="22"/>
      <c r="E78" s="750"/>
      <c r="F78" s="736" t="s">
        <v>133</v>
      </c>
      <c r="G78" s="750" t="s">
        <v>97</v>
      </c>
      <c r="H78" s="60">
        <v>165000000</v>
      </c>
      <c r="I78" s="61">
        <v>165000000</v>
      </c>
      <c r="J78" s="29" t="s">
        <v>202</v>
      </c>
    </row>
    <row r="79" spans="1:10" x14ac:dyDescent="0.25">
      <c r="A79" s="22"/>
      <c r="B79" s="739"/>
      <c r="C79" s="22"/>
      <c r="D79" s="22"/>
      <c r="E79" s="750"/>
      <c r="F79" s="736"/>
      <c r="G79" s="750"/>
      <c r="H79" s="22"/>
      <c r="I79" s="61"/>
      <c r="J79" s="22"/>
    </row>
    <row r="80" spans="1:10" x14ac:dyDescent="0.25">
      <c r="A80" s="22"/>
      <c r="B80" s="32"/>
      <c r="C80" s="22"/>
      <c r="D80" s="22"/>
      <c r="E80" s="53"/>
      <c r="F80" s="45"/>
      <c r="G80" s="53"/>
      <c r="H80" s="22"/>
      <c r="I80" s="61"/>
      <c r="J80" s="22"/>
    </row>
    <row r="81" spans="1:11" x14ac:dyDescent="0.25">
      <c r="A81" s="22">
        <v>17</v>
      </c>
      <c r="B81" s="739" t="s">
        <v>93</v>
      </c>
      <c r="C81" s="22"/>
      <c r="D81" s="22"/>
      <c r="E81" s="29"/>
      <c r="F81" s="736" t="s">
        <v>132</v>
      </c>
      <c r="G81" s="29" t="s">
        <v>80</v>
      </c>
      <c r="H81" s="60">
        <v>8910000</v>
      </c>
      <c r="I81" s="61">
        <v>18000000</v>
      </c>
      <c r="J81" s="29" t="s">
        <v>202</v>
      </c>
    </row>
    <row r="82" spans="1:11" x14ac:dyDescent="0.25">
      <c r="A82" s="22"/>
      <c r="B82" s="739"/>
      <c r="C82" s="22"/>
      <c r="D82" s="22"/>
      <c r="E82" s="25"/>
      <c r="F82" s="736"/>
      <c r="G82" s="25"/>
      <c r="H82" s="22"/>
      <c r="I82" s="104"/>
      <c r="J82" s="22"/>
    </row>
    <row r="83" spans="1:11" x14ac:dyDescent="0.25">
      <c r="A83" s="22"/>
      <c r="B83" s="32"/>
      <c r="C83" s="22"/>
      <c r="D83" s="22"/>
      <c r="E83" s="53"/>
      <c r="F83" s="45"/>
      <c r="G83" s="53"/>
      <c r="H83" s="22"/>
      <c r="I83" s="61"/>
      <c r="J83" s="22"/>
    </row>
    <row r="84" spans="1:11" x14ac:dyDescent="0.25">
      <c r="A84" s="22">
        <v>18</v>
      </c>
      <c r="B84" s="736" t="s">
        <v>206</v>
      </c>
      <c r="C84" s="29" t="s">
        <v>227</v>
      </c>
      <c r="D84" s="22"/>
      <c r="E84" s="54"/>
      <c r="F84" s="736" t="s">
        <v>138</v>
      </c>
      <c r="G84" s="22"/>
      <c r="H84" s="22"/>
      <c r="I84" s="61"/>
      <c r="J84" s="22"/>
    </row>
    <row r="85" spans="1:11" x14ac:dyDescent="0.25">
      <c r="A85" s="22"/>
      <c r="B85" s="736"/>
      <c r="C85" s="22"/>
      <c r="D85" s="22"/>
      <c r="E85" s="54"/>
      <c r="F85" s="736"/>
      <c r="G85" s="22"/>
      <c r="H85" s="22"/>
      <c r="I85" s="104"/>
      <c r="J85" s="22"/>
    </row>
    <row r="86" spans="1:11" x14ac:dyDescent="0.25">
      <c r="A86" s="22"/>
      <c r="B86" s="736"/>
      <c r="C86" s="22"/>
      <c r="D86" s="22"/>
      <c r="E86" s="54"/>
      <c r="F86" s="736"/>
      <c r="G86" s="22"/>
      <c r="H86" s="22"/>
      <c r="I86" s="104"/>
      <c r="J86" s="25" t="s">
        <v>17</v>
      </c>
    </row>
    <row r="87" spans="1:11" x14ac:dyDescent="0.25">
      <c r="A87" s="22"/>
      <c r="B87" s="27"/>
      <c r="C87" s="22"/>
      <c r="D87" s="31"/>
      <c r="E87" s="54"/>
      <c r="F87" s="31"/>
      <c r="G87" s="22"/>
      <c r="H87" s="22"/>
      <c r="I87" s="105"/>
      <c r="J87" s="22"/>
      <c r="K87" s="1" t="s">
        <v>17</v>
      </c>
    </row>
    <row r="88" spans="1:11" x14ac:dyDescent="0.25">
      <c r="A88" s="22">
        <v>19</v>
      </c>
      <c r="B88" s="736" t="s">
        <v>205</v>
      </c>
      <c r="C88" s="29" t="s">
        <v>227</v>
      </c>
      <c r="D88" s="31"/>
      <c r="E88" s="53"/>
      <c r="F88" s="736" t="s">
        <v>204</v>
      </c>
      <c r="G88" s="22">
        <v>0</v>
      </c>
      <c r="H88" s="22">
        <v>0</v>
      </c>
      <c r="I88" s="105">
        <v>225000000</v>
      </c>
      <c r="J88" s="29" t="s">
        <v>202</v>
      </c>
    </row>
    <row r="89" spans="1:11" x14ac:dyDescent="0.25">
      <c r="A89" s="22"/>
      <c r="B89" s="736"/>
      <c r="C89" s="22"/>
      <c r="D89" s="31"/>
      <c r="E89" s="53"/>
      <c r="F89" s="736"/>
      <c r="G89" s="22"/>
      <c r="H89" s="22"/>
      <c r="I89" s="106"/>
      <c r="J89" s="22"/>
    </row>
    <row r="90" spans="1:11" x14ac:dyDescent="0.25">
      <c r="A90" s="22"/>
      <c r="B90" s="736"/>
      <c r="C90" s="22"/>
      <c r="D90" s="22"/>
      <c r="E90" s="53"/>
      <c r="F90" s="736"/>
      <c r="G90" s="22"/>
      <c r="H90" s="22"/>
      <c r="I90" s="106"/>
      <c r="J90" s="22"/>
    </row>
    <row r="91" spans="1:11" x14ac:dyDescent="0.25">
      <c r="A91" s="22"/>
      <c r="B91" s="25"/>
      <c r="C91" s="22"/>
      <c r="D91" s="22"/>
      <c r="E91" s="52"/>
      <c r="F91" s="31"/>
      <c r="G91" s="22"/>
      <c r="H91" s="22"/>
      <c r="I91" s="106"/>
      <c r="J91" s="22"/>
    </row>
    <row r="92" spans="1:11" x14ac:dyDescent="0.25">
      <c r="A92" s="117" t="s">
        <v>126</v>
      </c>
      <c r="B92" s="742" t="s">
        <v>42</v>
      </c>
      <c r="C92" s="22"/>
      <c r="D92" s="737" t="s">
        <v>58</v>
      </c>
      <c r="E92" s="52">
        <v>1</v>
      </c>
      <c r="F92" s="31"/>
      <c r="G92" s="22"/>
      <c r="H92" s="22"/>
      <c r="I92" s="105"/>
      <c r="J92" s="22"/>
    </row>
    <row r="93" spans="1:11" x14ac:dyDescent="0.25">
      <c r="A93" s="22"/>
      <c r="B93" s="742"/>
      <c r="C93" s="22"/>
      <c r="D93" s="737"/>
      <c r="E93" s="52"/>
      <c r="F93" s="31" t="s">
        <v>17</v>
      </c>
      <c r="G93" s="22"/>
      <c r="H93" s="22"/>
      <c r="I93" s="106"/>
      <c r="J93" s="22"/>
    </row>
    <row r="94" spans="1:11" ht="15.6" x14ac:dyDescent="0.3">
      <c r="A94" s="22"/>
      <c r="B94" s="33"/>
      <c r="C94" s="22"/>
      <c r="D94" s="17"/>
      <c r="E94" s="29"/>
      <c r="F94" s="29"/>
      <c r="G94" s="22"/>
      <c r="H94" s="22"/>
      <c r="I94" s="106"/>
      <c r="J94" s="22"/>
    </row>
    <row r="95" spans="1:11" ht="15" x14ac:dyDescent="0.25">
      <c r="A95" s="22">
        <v>20</v>
      </c>
      <c r="B95" s="736" t="s">
        <v>27</v>
      </c>
      <c r="C95" s="29" t="s">
        <v>227</v>
      </c>
      <c r="D95" s="13"/>
      <c r="E95" s="29"/>
      <c r="F95" s="736" t="s">
        <v>111</v>
      </c>
      <c r="G95" s="29" t="s">
        <v>81</v>
      </c>
      <c r="H95" s="60">
        <v>22750000</v>
      </c>
      <c r="I95" s="60">
        <v>22750000</v>
      </c>
      <c r="J95" s="29" t="s">
        <v>202</v>
      </c>
    </row>
    <row r="96" spans="1:11" ht="15" x14ac:dyDescent="0.25">
      <c r="A96" s="22"/>
      <c r="B96" s="736"/>
      <c r="C96" s="22"/>
      <c r="D96" s="3"/>
      <c r="E96" s="22"/>
      <c r="F96" s="736"/>
      <c r="G96" s="22"/>
      <c r="H96" s="22"/>
      <c r="I96" s="25"/>
      <c r="J96" s="22"/>
    </row>
    <row r="97" spans="1:10" ht="15" x14ac:dyDescent="0.25">
      <c r="A97" s="22"/>
      <c r="B97" s="27"/>
      <c r="C97" s="22"/>
      <c r="D97" s="3"/>
      <c r="E97" s="22"/>
      <c r="F97" s="27"/>
      <c r="G97" s="22"/>
      <c r="H97" s="22"/>
      <c r="I97" s="107"/>
      <c r="J97" s="22"/>
    </row>
    <row r="98" spans="1:10" ht="15" x14ac:dyDescent="0.25">
      <c r="A98" s="22"/>
      <c r="B98" s="27"/>
      <c r="C98" s="22"/>
      <c r="D98" s="3"/>
      <c r="E98" s="22"/>
      <c r="F98" s="27"/>
      <c r="G98" s="22"/>
      <c r="H98" s="22"/>
      <c r="I98" s="108" t="s">
        <v>17</v>
      </c>
      <c r="J98" s="22"/>
    </row>
    <row r="99" spans="1:10" ht="15" x14ac:dyDescent="0.25">
      <c r="A99" s="22"/>
      <c r="B99" s="27"/>
      <c r="C99" s="25" t="s">
        <v>17</v>
      </c>
      <c r="D99" s="3"/>
      <c r="E99" s="22"/>
      <c r="F99" s="27"/>
      <c r="G99" s="22"/>
      <c r="H99" s="22"/>
      <c r="I99" s="108"/>
      <c r="J99" s="22"/>
    </row>
    <row r="100" spans="1:10" ht="15" x14ac:dyDescent="0.25">
      <c r="A100" s="23"/>
      <c r="B100" s="81"/>
      <c r="C100" s="23"/>
      <c r="D100" s="19"/>
      <c r="E100" s="23"/>
      <c r="F100" s="81"/>
      <c r="G100" s="23"/>
      <c r="H100" s="23"/>
      <c r="I100" s="108"/>
      <c r="J100" s="23"/>
    </row>
    <row r="101" spans="1:10" ht="15" x14ac:dyDescent="0.25">
      <c r="A101" s="71"/>
      <c r="B101" s="82"/>
      <c r="C101" s="71"/>
      <c r="D101" s="84"/>
      <c r="E101" s="71"/>
      <c r="F101" s="82"/>
      <c r="G101" s="71"/>
      <c r="H101" s="71"/>
      <c r="I101" s="110"/>
      <c r="J101" s="71"/>
    </row>
    <row r="102" spans="1:10" ht="15" x14ac:dyDescent="0.25">
      <c r="B102" s="83"/>
      <c r="D102" s="18"/>
      <c r="F102" s="83"/>
      <c r="I102" s="1"/>
    </row>
    <row r="103" spans="1:10" ht="15" customHeight="1" x14ac:dyDescent="0.25">
      <c r="A103" s="746">
        <v>3</v>
      </c>
      <c r="B103" s="746"/>
      <c r="C103" s="746"/>
      <c r="D103" s="746"/>
      <c r="E103" s="746"/>
      <c r="F103" s="746"/>
      <c r="G103" s="746"/>
      <c r="H103" s="746"/>
      <c r="I103" s="746"/>
      <c r="J103" s="746"/>
    </row>
    <row r="104" spans="1:10" ht="12.75" customHeight="1" x14ac:dyDescent="0.25">
      <c r="A104" s="730" t="s">
        <v>197</v>
      </c>
      <c r="B104" s="98"/>
      <c r="C104" s="99"/>
      <c r="D104" s="756" t="s">
        <v>214</v>
      </c>
      <c r="E104" s="757"/>
      <c r="F104" s="757"/>
      <c r="G104" s="758"/>
      <c r="H104" s="734" t="s">
        <v>212</v>
      </c>
      <c r="I104" s="732" t="s">
        <v>219</v>
      </c>
      <c r="J104" s="21"/>
    </row>
    <row r="105" spans="1:10" x14ac:dyDescent="0.25">
      <c r="A105" s="740"/>
      <c r="B105" s="742" t="s">
        <v>213</v>
      </c>
      <c r="C105" s="740" t="s">
        <v>198</v>
      </c>
      <c r="D105" s="744" t="s">
        <v>199</v>
      </c>
      <c r="E105" s="745"/>
      <c r="F105" s="744" t="s">
        <v>211</v>
      </c>
      <c r="G105" s="745"/>
      <c r="H105" s="735"/>
      <c r="I105" s="733"/>
      <c r="J105" s="22"/>
    </row>
    <row r="106" spans="1:10" x14ac:dyDescent="0.25">
      <c r="A106" s="731"/>
      <c r="B106" s="743"/>
      <c r="C106" s="731"/>
      <c r="D106" s="100" t="s">
        <v>200</v>
      </c>
      <c r="E106" s="100" t="s">
        <v>74</v>
      </c>
      <c r="F106" s="100" t="s">
        <v>200</v>
      </c>
      <c r="G106" s="100" t="s">
        <v>74</v>
      </c>
      <c r="H106" s="101" t="s">
        <v>203</v>
      </c>
      <c r="I106" s="101" t="s">
        <v>218</v>
      </c>
      <c r="J106" s="23"/>
    </row>
    <row r="107" spans="1:10" x14ac:dyDescent="0.25">
      <c r="A107" s="20">
        <v>1</v>
      </c>
      <c r="B107" s="59">
        <v>2</v>
      </c>
      <c r="C107" s="72">
        <v>3</v>
      </c>
      <c r="D107" s="20">
        <v>4</v>
      </c>
      <c r="E107" s="20">
        <v>5</v>
      </c>
      <c r="F107" s="20">
        <v>6</v>
      </c>
      <c r="G107" s="20">
        <v>7</v>
      </c>
      <c r="H107" s="20">
        <v>8</v>
      </c>
      <c r="I107" s="20">
        <v>9</v>
      </c>
      <c r="J107" s="20">
        <v>10</v>
      </c>
    </row>
    <row r="108" spans="1:10" x14ac:dyDescent="0.25">
      <c r="A108" s="117" t="s">
        <v>127</v>
      </c>
      <c r="B108" s="742" t="s">
        <v>112</v>
      </c>
      <c r="C108" s="22"/>
      <c r="D108" s="737" t="s">
        <v>73</v>
      </c>
      <c r="E108" s="22"/>
      <c r="F108" s="31"/>
      <c r="G108" s="22"/>
      <c r="H108" s="22"/>
      <c r="I108" s="25"/>
      <c r="J108" s="22"/>
    </row>
    <row r="109" spans="1:10" x14ac:dyDescent="0.25">
      <c r="A109" s="22"/>
      <c r="B109" s="742"/>
      <c r="C109" s="22"/>
      <c r="D109" s="737"/>
      <c r="E109" s="22"/>
      <c r="F109" s="31"/>
      <c r="G109" s="22"/>
      <c r="H109" s="22"/>
      <c r="I109" s="25"/>
      <c r="J109" s="22"/>
    </row>
    <row r="110" spans="1:10" x14ac:dyDescent="0.25">
      <c r="A110" s="22"/>
      <c r="B110" s="736"/>
      <c r="C110" s="22"/>
      <c r="D110" s="737"/>
      <c r="E110" s="22"/>
      <c r="F110" s="25"/>
      <c r="G110" s="22"/>
      <c r="H110" s="22"/>
      <c r="I110" s="25"/>
      <c r="J110" s="22"/>
    </row>
    <row r="111" spans="1:10" x14ac:dyDescent="0.25">
      <c r="A111" s="22"/>
      <c r="B111" s="30"/>
      <c r="C111" s="22"/>
      <c r="D111" s="80"/>
      <c r="E111" s="22"/>
      <c r="F111" s="30"/>
      <c r="G111" s="22" t="s">
        <v>17</v>
      </c>
      <c r="H111" s="22"/>
      <c r="I111" s="25"/>
      <c r="J111" s="22"/>
    </row>
    <row r="112" spans="1:10" x14ac:dyDescent="0.25">
      <c r="A112" s="22">
        <v>21</v>
      </c>
      <c r="B112" s="739" t="s">
        <v>113</v>
      </c>
      <c r="C112" s="29" t="s">
        <v>227</v>
      </c>
      <c r="D112" s="736" t="s">
        <v>114</v>
      </c>
      <c r="E112" s="739"/>
      <c r="F112" s="736" t="s">
        <v>114</v>
      </c>
      <c r="G112" s="736" t="s">
        <v>155</v>
      </c>
      <c r="H112" s="64">
        <v>50000000</v>
      </c>
      <c r="I112" s="60">
        <v>50000000</v>
      </c>
      <c r="J112" s="29" t="s">
        <v>202</v>
      </c>
    </row>
    <row r="113" spans="1:11" x14ac:dyDescent="0.25">
      <c r="A113" s="22"/>
      <c r="B113" s="739"/>
      <c r="C113" s="22"/>
      <c r="D113" s="736"/>
      <c r="E113" s="739"/>
      <c r="F113" s="736"/>
      <c r="G113" s="736"/>
      <c r="H113" s="22"/>
      <c r="I113" s="109"/>
      <c r="J113" s="22"/>
    </row>
    <row r="114" spans="1:11" x14ac:dyDescent="0.25">
      <c r="A114" s="22"/>
      <c r="B114" s="739"/>
      <c r="C114" s="22"/>
      <c r="D114" s="736"/>
      <c r="E114" s="739"/>
      <c r="F114" s="736"/>
      <c r="G114" s="37"/>
      <c r="H114" s="22"/>
      <c r="I114" s="22"/>
      <c r="J114" s="22"/>
    </row>
    <row r="115" spans="1:11" x14ac:dyDescent="0.25">
      <c r="A115" s="22"/>
      <c r="B115" s="25"/>
      <c r="C115" s="22"/>
      <c r="D115" s="31"/>
      <c r="E115" s="22"/>
      <c r="F115" s="31"/>
      <c r="G115" s="22"/>
      <c r="H115" s="22"/>
      <c r="I115" s="22"/>
      <c r="J115" s="22"/>
    </row>
    <row r="116" spans="1:11" x14ac:dyDescent="0.25">
      <c r="A116" s="117" t="s">
        <v>128</v>
      </c>
      <c r="B116" s="742" t="s">
        <v>28</v>
      </c>
      <c r="C116" s="22"/>
      <c r="D116" s="737" t="s">
        <v>167</v>
      </c>
      <c r="E116" s="48">
        <v>7.1999999999999998E-3</v>
      </c>
      <c r="F116" s="48"/>
      <c r="G116" s="22"/>
      <c r="H116" s="22"/>
      <c r="I116" s="22"/>
      <c r="J116" s="22"/>
    </row>
    <row r="117" spans="1:11" x14ac:dyDescent="0.25">
      <c r="A117" s="22"/>
      <c r="B117" s="742"/>
      <c r="C117" s="22"/>
      <c r="D117" s="737"/>
      <c r="E117" s="22"/>
      <c r="F117" s="31"/>
      <c r="G117" s="22"/>
      <c r="H117" s="25" t="s">
        <v>17</v>
      </c>
      <c r="I117" s="22"/>
      <c r="J117" s="22"/>
    </row>
    <row r="118" spans="1:11" x14ac:dyDescent="0.25">
      <c r="A118" s="22">
        <v>22</v>
      </c>
      <c r="B118" s="25" t="s">
        <v>61</v>
      </c>
      <c r="C118" s="29" t="s">
        <v>227</v>
      </c>
      <c r="D118" s="69"/>
      <c r="E118" s="22"/>
      <c r="F118" s="25" t="s">
        <v>43</v>
      </c>
      <c r="G118" s="22"/>
      <c r="H118" s="60">
        <v>57000000</v>
      </c>
      <c r="I118" s="60">
        <v>57000000</v>
      </c>
      <c r="J118" s="29" t="s">
        <v>202</v>
      </c>
    </row>
    <row r="119" spans="1:11" x14ac:dyDescent="0.25">
      <c r="A119" s="22"/>
      <c r="B119" s="25"/>
      <c r="C119" s="22"/>
      <c r="D119" s="69"/>
      <c r="E119" s="22"/>
      <c r="F119" s="25"/>
      <c r="G119" s="22"/>
      <c r="H119" s="60"/>
      <c r="I119" s="60"/>
      <c r="J119" s="22"/>
    </row>
    <row r="120" spans="1:11" x14ac:dyDescent="0.25">
      <c r="A120" s="22"/>
      <c r="B120" s="34" t="s">
        <v>5</v>
      </c>
      <c r="C120" s="22"/>
      <c r="D120" s="69"/>
      <c r="E120" s="22"/>
      <c r="F120" s="30"/>
      <c r="G120" s="22"/>
      <c r="H120" s="22"/>
      <c r="I120" s="22"/>
      <c r="J120" s="22"/>
    </row>
    <row r="121" spans="1:11" ht="12.75" customHeight="1" x14ac:dyDescent="0.25">
      <c r="A121" s="22"/>
      <c r="B121" s="742" t="s">
        <v>120</v>
      </c>
      <c r="C121" s="25" t="s">
        <v>17</v>
      </c>
      <c r="D121" s="69"/>
      <c r="E121" s="22"/>
      <c r="F121" s="25"/>
      <c r="G121" s="22"/>
      <c r="H121" s="22"/>
      <c r="I121" s="22"/>
      <c r="J121" s="22"/>
    </row>
    <row r="122" spans="1:11" x14ac:dyDescent="0.25">
      <c r="A122" s="22"/>
      <c r="B122" s="742"/>
      <c r="C122" s="22"/>
      <c r="D122" s="69"/>
      <c r="E122" s="22"/>
      <c r="F122" s="25"/>
      <c r="G122" s="22"/>
      <c r="H122" s="22"/>
      <c r="I122" s="22"/>
      <c r="J122" s="22"/>
      <c r="K122" s="1" t="s">
        <v>17</v>
      </c>
    </row>
    <row r="123" spans="1:11" x14ac:dyDescent="0.25">
      <c r="A123" s="22"/>
      <c r="B123" s="32" t="s">
        <v>230</v>
      </c>
      <c r="C123" s="22"/>
      <c r="D123" s="69"/>
      <c r="E123" s="22"/>
      <c r="F123" s="22"/>
      <c r="G123" s="22"/>
      <c r="H123" s="22"/>
      <c r="I123" s="22"/>
      <c r="J123" s="22"/>
    </row>
    <row r="124" spans="1:11" x14ac:dyDescent="0.25">
      <c r="A124" s="117" t="s">
        <v>129</v>
      </c>
      <c r="B124" s="742" t="s">
        <v>170</v>
      </c>
      <c r="C124" s="22"/>
      <c r="D124" s="753" t="s">
        <v>165</v>
      </c>
      <c r="E124" s="49">
        <v>0.63990000000000002</v>
      </c>
      <c r="F124" s="22"/>
      <c r="G124" s="22"/>
      <c r="H124" s="22"/>
      <c r="I124" s="22"/>
      <c r="J124" s="22"/>
    </row>
    <row r="125" spans="1:11" x14ac:dyDescent="0.25">
      <c r="A125" s="22"/>
      <c r="B125" s="742"/>
      <c r="C125" s="22"/>
      <c r="D125" s="753"/>
      <c r="E125" s="22"/>
      <c r="F125" s="22"/>
      <c r="G125" s="22"/>
      <c r="H125" s="22"/>
      <c r="I125" s="22"/>
      <c r="J125" s="22"/>
    </row>
    <row r="126" spans="1:11" ht="15.6" x14ac:dyDescent="0.25">
      <c r="A126" s="22"/>
      <c r="B126" s="736"/>
      <c r="C126" s="22"/>
      <c r="D126" s="5"/>
      <c r="E126" s="22"/>
      <c r="F126" s="22"/>
      <c r="G126" s="22"/>
      <c r="H126" s="22"/>
      <c r="I126" s="22"/>
      <c r="J126" s="22"/>
    </row>
    <row r="127" spans="1:11" ht="15" x14ac:dyDescent="0.25">
      <c r="A127" s="22"/>
      <c r="B127" s="27"/>
      <c r="C127" s="22"/>
      <c r="D127" s="2"/>
      <c r="E127" s="22"/>
      <c r="F127" s="22"/>
      <c r="G127" s="22"/>
      <c r="H127" s="22"/>
      <c r="I127" s="22"/>
      <c r="J127" s="22"/>
    </row>
    <row r="128" spans="1:11" x14ac:dyDescent="0.25">
      <c r="A128" s="22">
        <v>23</v>
      </c>
      <c r="B128" s="736" t="s">
        <v>38</v>
      </c>
      <c r="C128" s="29" t="s">
        <v>221</v>
      </c>
      <c r="D128" s="747" t="s">
        <v>17</v>
      </c>
      <c r="E128" s="29"/>
      <c r="F128" s="747" t="s">
        <v>40</v>
      </c>
      <c r="G128" s="29" t="s">
        <v>137</v>
      </c>
      <c r="H128" s="60">
        <v>200200000</v>
      </c>
      <c r="I128" s="60">
        <v>218208000</v>
      </c>
      <c r="J128" s="29" t="s">
        <v>202</v>
      </c>
    </row>
    <row r="129" spans="1:11" x14ac:dyDescent="0.25">
      <c r="A129" s="22"/>
      <c r="B129" s="736"/>
      <c r="C129" s="114"/>
      <c r="D129" s="747"/>
      <c r="E129" s="25"/>
      <c r="F129" s="747"/>
      <c r="G129" s="25"/>
      <c r="H129" s="25"/>
      <c r="I129" s="25"/>
      <c r="J129" s="22"/>
    </row>
    <row r="130" spans="1:11" x14ac:dyDescent="0.25">
      <c r="A130" s="22"/>
      <c r="B130" s="30"/>
      <c r="C130" s="114"/>
      <c r="D130" s="30"/>
      <c r="E130" s="29"/>
      <c r="F130" s="30"/>
      <c r="G130" s="29"/>
      <c r="H130" s="25"/>
      <c r="I130" s="25"/>
      <c r="J130" s="22"/>
    </row>
    <row r="131" spans="1:11" x14ac:dyDescent="0.25">
      <c r="A131" s="22">
        <v>24</v>
      </c>
      <c r="B131" s="736" t="s">
        <v>36</v>
      </c>
      <c r="C131" s="29" t="s">
        <v>221</v>
      </c>
      <c r="D131" s="31"/>
      <c r="E131" s="29"/>
      <c r="F131" s="736" t="s">
        <v>39</v>
      </c>
      <c r="G131" s="29" t="s">
        <v>37</v>
      </c>
      <c r="H131" s="60">
        <v>201000000</v>
      </c>
      <c r="I131" s="60">
        <v>201000000</v>
      </c>
      <c r="J131" s="29" t="s">
        <v>202</v>
      </c>
    </row>
    <row r="132" spans="1:11" x14ac:dyDescent="0.25">
      <c r="A132" s="22"/>
      <c r="B132" s="736"/>
      <c r="C132" s="22"/>
      <c r="D132" s="31"/>
      <c r="E132" s="29"/>
      <c r="F132" s="736"/>
      <c r="G132" s="29"/>
      <c r="H132" s="22"/>
      <c r="I132" s="25"/>
      <c r="J132" s="22"/>
    </row>
    <row r="133" spans="1:11" x14ac:dyDescent="0.25">
      <c r="A133" s="22"/>
      <c r="B133" s="35"/>
      <c r="C133" s="22"/>
      <c r="D133" s="31"/>
      <c r="E133" s="29" t="s">
        <v>17</v>
      </c>
      <c r="F133" s="31"/>
      <c r="G133" s="29" t="s">
        <v>17</v>
      </c>
      <c r="H133" s="22"/>
      <c r="I133" s="25"/>
      <c r="J133" s="22"/>
      <c r="K133" s="1" t="s">
        <v>17</v>
      </c>
    </row>
    <row r="134" spans="1:11" x14ac:dyDescent="0.25">
      <c r="A134" s="22">
        <v>25</v>
      </c>
      <c r="B134" s="736" t="s">
        <v>44</v>
      </c>
      <c r="C134" s="22"/>
      <c r="D134" s="736"/>
      <c r="E134" s="29"/>
      <c r="F134" s="736" t="s">
        <v>115</v>
      </c>
      <c r="G134" s="29" t="s">
        <v>83</v>
      </c>
      <c r="H134" s="60">
        <v>75675000</v>
      </c>
      <c r="I134" s="60">
        <v>80000000</v>
      </c>
      <c r="J134" s="29" t="s">
        <v>202</v>
      </c>
    </row>
    <row r="135" spans="1:11" x14ac:dyDescent="0.25">
      <c r="A135" s="22"/>
      <c r="B135" s="736"/>
      <c r="C135" s="22"/>
      <c r="D135" s="736"/>
      <c r="E135" s="29"/>
      <c r="F135" s="736"/>
      <c r="G135" s="29"/>
      <c r="H135" s="25"/>
      <c r="I135" s="60" t="s">
        <v>17</v>
      </c>
      <c r="J135" s="22"/>
    </row>
    <row r="136" spans="1:11" x14ac:dyDescent="0.25">
      <c r="A136" s="22"/>
      <c r="B136" s="27"/>
      <c r="C136" s="22"/>
      <c r="D136" s="31"/>
      <c r="E136" s="25"/>
      <c r="F136" s="31"/>
      <c r="G136" s="25"/>
      <c r="H136" s="25"/>
      <c r="I136" s="25"/>
      <c r="J136" s="22"/>
    </row>
    <row r="137" spans="1:11" x14ac:dyDescent="0.25">
      <c r="A137" s="22">
        <v>26</v>
      </c>
      <c r="B137" s="755" t="s">
        <v>29</v>
      </c>
      <c r="C137" s="22"/>
      <c r="D137" s="31"/>
      <c r="E137" s="29"/>
      <c r="F137" s="736" t="s">
        <v>135</v>
      </c>
      <c r="G137" s="29" t="s">
        <v>33</v>
      </c>
      <c r="H137" s="60">
        <v>75000000</v>
      </c>
      <c r="I137" s="60">
        <v>75000000</v>
      </c>
      <c r="J137" s="29" t="s">
        <v>202</v>
      </c>
    </row>
    <row r="138" spans="1:11" x14ac:dyDescent="0.25">
      <c r="A138" s="22"/>
      <c r="B138" s="736"/>
      <c r="C138" s="22"/>
      <c r="D138" s="31"/>
      <c r="E138" s="29"/>
      <c r="F138" s="736"/>
      <c r="G138" s="22"/>
      <c r="H138" s="22"/>
      <c r="I138" s="25"/>
      <c r="J138" s="22"/>
    </row>
    <row r="139" spans="1:11" x14ac:dyDescent="0.25">
      <c r="A139" s="22"/>
      <c r="B139" s="736"/>
      <c r="C139" s="22"/>
      <c r="D139" s="31"/>
      <c r="E139" s="29"/>
      <c r="F139" s="736"/>
      <c r="G139" s="22"/>
      <c r="H139" s="22"/>
      <c r="I139" s="60"/>
      <c r="J139" s="22"/>
    </row>
    <row r="140" spans="1:11" x14ac:dyDescent="0.25">
      <c r="A140" s="22"/>
      <c r="B140" s="31"/>
      <c r="C140" s="22"/>
      <c r="D140" s="31"/>
      <c r="E140" s="29"/>
      <c r="F140" s="22"/>
      <c r="G140" s="22"/>
      <c r="H140" s="22"/>
      <c r="I140" s="25"/>
      <c r="J140" s="22"/>
    </row>
    <row r="141" spans="1:11" x14ac:dyDescent="0.25">
      <c r="A141" s="22">
        <v>27</v>
      </c>
      <c r="B141" s="736" t="s">
        <v>30</v>
      </c>
      <c r="C141" s="22"/>
      <c r="D141" s="31"/>
      <c r="E141" s="29"/>
      <c r="F141" s="736" t="s">
        <v>31</v>
      </c>
      <c r="G141" s="29" t="s">
        <v>32</v>
      </c>
      <c r="H141" s="60">
        <v>50000000</v>
      </c>
      <c r="I141" s="60">
        <v>55000000</v>
      </c>
      <c r="J141" s="29" t="s">
        <v>202</v>
      </c>
    </row>
    <row r="142" spans="1:11" x14ac:dyDescent="0.25">
      <c r="A142" s="22"/>
      <c r="B142" s="736"/>
      <c r="C142" s="22"/>
      <c r="D142" s="31"/>
      <c r="E142" s="29"/>
      <c r="F142" s="736"/>
      <c r="G142" s="29"/>
      <c r="H142" s="25"/>
      <c r="I142" s="25"/>
      <c r="J142" s="25" t="s">
        <v>17</v>
      </c>
    </row>
    <row r="143" spans="1:11" x14ac:dyDescent="0.25">
      <c r="A143" s="22"/>
      <c r="B143" s="736"/>
      <c r="C143" s="22"/>
      <c r="D143" s="31"/>
      <c r="E143" s="29"/>
      <c r="F143" s="736"/>
      <c r="G143" s="29"/>
      <c r="H143" s="25"/>
      <c r="I143" s="25"/>
      <c r="J143" s="22"/>
    </row>
    <row r="144" spans="1:11" x14ac:dyDescent="0.25">
      <c r="A144" s="22"/>
      <c r="B144" s="27"/>
      <c r="C144" s="22"/>
      <c r="D144" s="36"/>
      <c r="E144" s="29"/>
      <c r="F144" s="36"/>
      <c r="G144" s="29"/>
      <c r="H144" s="25"/>
      <c r="I144" s="60"/>
      <c r="J144" s="22"/>
    </row>
    <row r="145" spans="1:12" x14ac:dyDescent="0.25">
      <c r="A145" s="22">
        <v>28</v>
      </c>
      <c r="B145" s="747" t="s">
        <v>56</v>
      </c>
      <c r="C145" s="22"/>
      <c r="D145" s="31"/>
      <c r="E145" s="29"/>
      <c r="F145" s="736" t="s">
        <v>35</v>
      </c>
      <c r="G145" s="29" t="s">
        <v>169</v>
      </c>
      <c r="H145" s="60">
        <v>102500000</v>
      </c>
      <c r="I145" s="60">
        <v>87000000</v>
      </c>
      <c r="J145" s="29" t="s">
        <v>202</v>
      </c>
    </row>
    <row r="146" spans="1:12" x14ac:dyDescent="0.25">
      <c r="A146" s="22"/>
      <c r="B146" s="747"/>
      <c r="C146" s="22"/>
      <c r="D146" s="31"/>
      <c r="E146" s="25"/>
      <c r="F146" s="736"/>
      <c r="G146" s="25"/>
      <c r="H146" s="22"/>
      <c r="I146" s="25"/>
      <c r="J146" s="22"/>
    </row>
    <row r="147" spans="1:12" x14ac:dyDescent="0.25">
      <c r="A147" s="22"/>
      <c r="B147" s="747"/>
      <c r="C147" s="22"/>
      <c r="D147" s="31"/>
      <c r="E147" s="25"/>
      <c r="F147" s="736"/>
      <c r="G147" s="25"/>
      <c r="H147" s="22"/>
      <c r="I147" s="25"/>
      <c r="J147" s="22"/>
    </row>
    <row r="148" spans="1:12" x14ac:dyDescent="0.25">
      <c r="A148" s="22"/>
      <c r="B148" s="25"/>
      <c r="C148" s="22"/>
      <c r="D148" s="31"/>
      <c r="E148" s="29"/>
      <c r="F148" s="31"/>
      <c r="G148" s="29"/>
      <c r="H148" s="22"/>
      <c r="I148" s="25"/>
      <c r="J148" s="22"/>
    </row>
    <row r="149" spans="1:12" ht="13.5" customHeight="1" x14ac:dyDescent="0.25">
      <c r="A149" s="22">
        <v>29</v>
      </c>
      <c r="B149" s="736" t="s">
        <v>207</v>
      </c>
      <c r="C149" s="22"/>
      <c r="D149" s="31"/>
      <c r="E149" s="51"/>
      <c r="F149" s="31" t="s">
        <v>45</v>
      </c>
      <c r="G149" s="51" t="s">
        <v>2</v>
      </c>
      <c r="H149" s="63">
        <v>60000000</v>
      </c>
      <c r="I149" s="63">
        <v>60000000</v>
      </c>
      <c r="J149" s="29" t="s">
        <v>202</v>
      </c>
    </row>
    <row r="150" spans="1:12" x14ac:dyDescent="0.25">
      <c r="A150" s="22"/>
      <c r="B150" s="736"/>
      <c r="C150" s="22"/>
      <c r="D150" s="31"/>
      <c r="E150" s="25"/>
      <c r="F150" s="31"/>
      <c r="G150" s="25"/>
      <c r="H150" s="25"/>
      <c r="I150" s="25"/>
      <c r="J150" s="22"/>
    </row>
    <row r="151" spans="1:12" x14ac:dyDescent="0.25">
      <c r="A151" s="22"/>
      <c r="B151" s="37"/>
      <c r="C151" s="22"/>
      <c r="D151" s="45"/>
      <c r="E151" s="29"/>
      <c r="F151" s="45"/>
      <c r="G151" s="29"/>
      <c r="H151" s="25"/>
      <c r="I151" s="25"/>
      <c r="J151" s="22"/>
    </row>
    <row r="152" spans="1:12" x14ac:dyDescent="0.25">
      <c r="A152" s="22">
        <v>30</v>
      </c>
      <c r="B152" s="736" t="s">
        <v>54</v>
      </c>
      <c r="C152" s="22"/>
      <c r="D152" s="736"/>
      <c r="E152" s="29"/>
      <c r="F152" s="736" t="s">
        <v>55</v>
      </c>
      <c r="G152" s="29">
        <v>0</v>
      </c>
      <c r="H152" s="60">
        <v>150950000</v>
      </c>
      <c r="I152" s="60">
        <v>160500000</v>
      </c>
      <c r="J152" s="29" t="s">
        <v>202</v>
      </c>
      <c r="L152" s="1" t="s">
        <v>17</v>
      </c>
    </row>
    <row r="153" spans="1:12" x14ac:dyDescent="0.25">
      <c r="A153" s="22"/>
      <c r="B153" s="736"/>
      <c r="C153" s="22"/>
      <c r="D153" s="736"/>
      <c r="E153" s="29"/>
      <c r="F153" s="736"/>
      <c r="G153" s="22"/>
      <c r="H153" s="22"/>
      <c r="I153" s="63"/>
      <c r="J153" s="22"/>
    </row>
    <row r="154" spans="1:12" x14ac:dyDescent="0.25">
      <c r="A154" s="22"/>
      <c r="B154" s="736"/>
      <c r="C154" s="25" t="s">
        <v>17</v>
      </c>
      <c r="D154" s="30"/>
      <c r="E154" s="29"/>
      <c r="F154" s="22"/>
      <c r="G154" s="22"/>
      <c r="H154" s="22"/>
      <c r="I154" s="25"/>
      <c r="J154" s="22"/>
    </row>
    <row r="155" spans="1:12" x14ac:dyDescent="0.25">
      <c r="A155" s="22"/>
      <c r="B155" s="30"/>
      <c r="C155" s="22"/>
      <c r="D155" s="30"/>
      <c r="E155" s="29"/>
      <c r="F155" s="25" t="s">
        <v>17</v>
      </c>
      <c r="G155" s="22"/>
      <c r="H155" s="22"/>
      <c r="I155" s="25"/>
      <c r="J155" s="77"/>
    </row>
    <row r="156" spans="1:12" x14ac:dyDescent="0.25">
      <c r="A156" s="71"/>
      <c r="B156" s="119"/>
      <c r="C156" s="71"/>
      <c r="D156" s="119"/>
      <c r="E156" s="120"/>
      <c r="F156" s="79"/>
      <c r="G156" s="71"/>
      <c r="H156" s="71"/>
      <c r="I156" s="110"/>
      <c r="J156" s="71"/>
    </row>
    <row r="157" spans="1:12" x14ac:dyDescent="0.25">
      <c r="B157" s="76"/>
      <c r="D157" s="76"/>
      <c r="E157" s="85"/>
      <c r="F157" s="1"/>
      <c r="I157" s="118"/>
    </row>
    <row r="158" spans="1:12" x14ac:dyDescent="0.25">
      <c r="A158" s="746">
        <v>4</v>
      </c>
      <c r="B158" s="746"/>
      <c r="C158" s="746"/>
      <c r="D158" s="746"/>
      <c r="E158" s="746"/>
      <c r="F158" s="746"/>
      <c r="G158" s="746"/>
      <c r="H158" s="746"/>
      <c r="I158" s="746"/>
      <c r="J158" s="746"/>
    </row>
    <row r="159" spans="1:12" ht="12.75" customHeight="1" x14ac:dyDescent="0.25">
      <c r="A159" s="730" t="s">
        <v>197</v>
      </c>
      <c r="B159" s="98"/>
      <c r="C159" s="99"/>
      <c r="D159" s="722" t="s">
        <v>214</v>
      </c>
      <c r="E159" s="741"/>
      <c r="F159" s="741"/>
      <c r="G159" s="723"/>
      <c r="H159" s="734" t="s">
        <v>212</v>
      </c>
      <c r="I159" s="732" t="s">
        <v>219</v>
      </c>
      <c r="J159" s="21"/>
    </row>
    <row r="160" spans="1:12" x14ac:dyDescent="0.25">
      <c r="A160" s="740"/>
      <c r="B160" s="742" t="s">
        <v>213</v>
      </c>
      <c r="C160" s="740" t="s">
        <v>198</v>
      </c>
      <c r="D160" s="744" t="s">
        <v>199</v>
      </c>
      <c r="E160" s="745"/>
      <c r="F160" s="744" t="s">
        <v>211</v>
      </c>
      <c r="G160" s="745"/>
      <c r="H160" s="735"/>
      <c r="I160" s="733"/>
      <c r="J160" s="22"/>
    </row>
    <row r="161" spans="1:10" x14ac:dyDescent="0.25">
      <c r="A161" s="731"/>
      <c r="B161" s="743"/>
      <c r="C161" s="731"/>
      <c r="D161" s="100" t="s">
        <v>200</v>
      </c>
      <c r="E161" s="100" t="s">
        <v>74</v>
      </c>
      <c r="F161" s="100" t="s">
        <v>200</v>
      </c>
      <c r="G161" s="100" t="s">
        <v>74</v>
      </c>
      <c r="H161" s="101" t="s">
        <v>203</v>
      </c>
      <c r="I161" s="101" t="s">
        <v>218</v>
      </c>
      <c r="J161" s="23"/>
    </row>
    <row r="162" spans="1:10" x14ac:dyDescent="0.25">
      <c r="A162" s="20">
        <v>1</v>
      </c>
      <c r="B162" s="59">
        <v>2</v>
      </c>
      <c r="C162" s="72">
        <v>3</v>
      </c>
      <c r="D162" s="20">
        <v>4</v>
      </c>
      <c r="E162" s="20">
        <v>5</v>
      </c>
      <c r="F162" s="20">
        <v>6</v>
      </c>
      <c r="G162" s="20">
        <v>7</v>
      </c>
      <c r="H162" s="20">
        <v>8</v>
      </c>
      <c r="I162" s="20">
        <v>9</v>
      </c>
      <c r="J162" s="20">
        <v>10</v>
      </c>
    </row>
    <row r="163" spans="1:10" x14ac:dyDescent="0.25">
      <c r="A163" s="117" t="s">
        <v>130</v>
      </c>
      <c r="B163" s="742" t="s">
        <v>161</v>
      </c>
      <c r="C163" s="22"/>
      <c r="D163" s="31"/>
      <c r="E163" s="50">
        <v>1</v>
      </c>
      <c r="F163" s="22"/>
      <c r="G163" s="22"/>
      <c r="H163" s="22"/>
      <c r="I163" s="22"/>
      <c r="J163" s="22"/>
    </row>
    <row r="164" spans="1:10" x14ac:dyDescent="0.25">
      <c r="A164" s="22"/>
      <c r="B164" s="736"/>
      <c r="C164" s="22"/>
      <c r="D164" s="31"/>
      <c r="E164" s="37"/>
      <c r="F164" s="22"/>
      <c r="G164" s="22"/>
      <c r="H164" s="22"/>
      <c r="I164" s="22"/>
      <c r="J164" s="22"/>
    </row>
    <row r="165" spans="1:10" x14ac:dyDescent="0.25">
      <c r="A165" s="22"/>
      <c r="B165" s="30"/>
      <c r="C165" s="22"/>
      <c r="D165" s="30"/>
      <c r="E165" s="29"/>
      <c r="F165" s="22"/>
      <c r="G165" s="22"/>
      <c r="H165" s="22"/>
      <c r="I165" s="22"/>
      <c r="J165" s="22"/>
    </row>
    <row r="166" spans="1:10" x14ac:dyDescent="0.25">
      <c r="A166" s="22">
        <v>31</v>
      </c>
      <c r="B166" s="736" t="s">
        <v>148</v>
      </c>
      <c r="C166" s="29" t="s">
        <v>222</v>
      </c>
      <c r="D166" s="31"/>
      <c r="E166" s="29"/>
      <c r="F166" s="736" t="s">
        <v>149</v>
      </c>
      <c r="G166" s="29" t="s">
        <v>3</v>
      </c>
      <c r="H166" s="60">
        <v>235000000</v>
      </c>
      <c r="I166" s="60">
        <v>246000000</v>
      </c>
      <c r="J166" s="29" t="s">
        <v>202</v>
      </c>
    </row>
    <row r="167" spans="1:10" x14ac:dyDescent="0.25">
      <c r="A167" s="22"/>
      <c r="B167" s="736"/>
      <c r="C167" s="22"/>
      <c r="D167" s="31"/>
      <c r="E167" s="29"/>
      <c r="F167" s="736"/>
      <c r="G167" s="29"/>
      <c r="H167" s="60"/>
      <c r="I167" s="60"/>
      <c r="J167" s="22"/>
    </row>
    <row r="168" spans="1:10" x14ac:dyDescent="0.25">
      <c r="A168" s="22"/>
      <c r="B168" s="30"/>
      <c r="C168" s="22"/>
      <c r="D168" s="30"/>
      <c r="E168" s="29"/>
      <c r="F168" s="30"/>
      <c r="G168" s="29"/>
      <c r="H168" s="25"/>
      <c r="I168" s="25"/>
      <c r="J168" s="22"/>
    </row>
    <row r="169" spans="1:10" x14ac:dyDescent="0.25">
      <c r="A169" s="22">
        <v>32</v>
      </c>
      <c r="B169" s="736" t="s">
        <v>46</v>
      </c>
      <c r="C169" s="29" t="s">
        <v>222</v>
      </c>
      <c r="D169" s="31"/>
      <c r="E169" s="755"/>
      <c r="F169" s="736" t="s">
        <v>47</v>
      </c>
      <c r="G169" s="755" t="s">
        <v>162</v>
      </c>
      <c r="H169" s="60">
        <v>90775000</v>
      </c>
      <c r="I169" s="60">
        <v>90775000</v>
      </c>
      <c r="J169" s="29" t="s">
        <v>202</v>
      </c>
    </row>
    <row r="170" spans="1:10" x14ac:dyDescent="0.25">
      <c r="A170" s="22"/>
      <c r="B170" s="736"/>
      <c r="C170" s="22"/>
      <c r="D170" s="31"/>
      <c r="E170" s="736"/>
      <c r="F170" s="736"/>
      <c r="G170" s="736"/>
      <c r="H170" s="25"/>
      <c r="I170" s="22"/>
      <c r="J170" s="22"/>
    </row>
    <row r="171" spans="1:10" x14ac:dyDescent="0.25">
      <c r="A171" s="22"/>
      <c r="B171" s="736"/>
      <c r="C171" s="22"/>
      <c r="D171" s="31"/>
      <c r="E171" s="25"/>
      <c r="F171" s="31"/>
      <c r="G171" s="25"/>
      <c r="H171" s="25"/>
      <c r="I171" s="22"/>
      <c r="J171" s="22"/>
    </row>
    <row r="172" spans="1:10" x14ac:dyDescent="0.25">
      <c r="A172" s="22"/>
      <c r="B172" s="736"/>
      <c r="C172" s="22"/>
      <c r="D172" s="25"/>
      <c r="E172" s="25"/>
      <c r="F172" s="25"/>
      <c r="G172" s="25"/>
      <c r="H172" s="25" t="s">
        <v>17</v>
      </c>
      <c r="I172" s="22"/>
      <c r="J172" s="22"/>
    </row>
    <row r="173" spans="1:10" x14ac:dyDescent="0.25">
      <c r="A173" s="22"/>
      <c r="B173" s="27"/>
      <c r="C173" s="22"/>
      <c r="D173" s="25"/>
      <c r="E173" s="29"/>
      <c r="F173" s="25"/>
      <c r="G173" s="29"/>
      <c r="H173" s="60"/>
      <c r="I173" s="25" t="s">
        <v>17</v>
      </c>
      <c r="J173" s="22"/>
    </row>
    <row r="174" spans="1:10" x14ac:dyDescent="0.25">
      <c r="A174" s="22">
        <v>33</v>
      </c>
      <c r="B174" s="736" t="s">
        <v>48</v>
      </c>
      <c r="C174" s="29" t="s">
        <v>222</v>
      </c>
      <c r="D174" s="736" t="s">
        <v>17</v>
      </c>
      <c r="E174" s="29"/>
      <c r="F174" s="736" t="s">
        <v>49</v>
      </c>
      <c r="G174" s="29" t="s">
        <v>34</v>
      </c>
      <c r="H174" s="60">
        <v>160000000</v>
      </c>
      <c r="I174" s="60">
        <v>160000000</v>
      </c>
      <c r="J174" s="29" t="s">
        <v>202</v>
      </c>
    </row>
    <row r="175" spans="1:10" x14ac:dyDescent="0.25">
      <c r="A175" s="22"/>
      <c r="B175" s="736"/>
      <c r="C175" s="114"/>
      <c r="D175" s="736"/>
      <c r="E175" s="29"/>
      <c r="F175" s="736"/>
      <c r="G175" s="29" t="s">
        <v>123</v>
      </c>
      <c r="H175" s="22"/>
      <c r="I175" s="25"/>
      <c r="J175" s="22"/>
    </row>
    <row r="176" spans="1:10" x14ac:dyDescent="0.25">
      <c r="A176" s="22"/>
      <c r="B176" s="27"/>
      <c r="C176" s="114"/>
      <c r="D176" s="25"/>
      <c r="E176" s="29"/>
      <c r="F176" s="31"/>
      <c r="G176" s="22"/>
      <c r="H176" s="22"/>
      <c r="I176" s="25"/>
      <c r="J176" s="22"/>
    </row>
    <row r="177" spans="1:10" x14ac:dyDescent="0.25">
      <c r="A177" s="22">
        <v>34</v>
      </c>
      <c r="B177" s="736" t="s">
        <v>144</v>
      </c>
      <c r="C177" s="29" t="s">
        <v>222</v>
      </c>
      <c r="D177" s="31"/>
      <c r="E177" s="29"/>
      <c r="F177" s="747" t="s">
        <v>59</v>
      </c>
      <c r="G177" s="29" t="s">
        <v>50</v>
      </c>
      <c r="H177" s="63">
        <v>125000000</v>
      </c>
      <c r="I177" s="63">
        <v>125000000</v>
      </c>
      <c r="J177" s="29" t="s">
        <v>202</v>
      </c>
    </row>
    <row r="178" spans="1:10" x14ac:dyDescent="0.25">
      <c r="A178" s="22"/>
      <c r="B178" s="736"/>
      <c r="C178" s="22"/>
      <c r="D178" s="31"/>
      <c r="E178" s="51"/>
      <c r="F178" s="747"/>
      <c r="G178" s="51"/>
      <c r="H178" s="22"/>
      <c r="I178" s="22"/>
      <c r="J178" s="22"/>
    </row>
    <row r="179" spans="1:10" ht="15.75" customHeight="1" x14ac:dyDescent="0.25">
      <c r="A179" s="22"/>
      <c r="B179" s="22"/>
      <c r="C179" s="22"/>
      <c r="D179" s="31"/>
      <c r="E179" s="51"/>
      <c r="F179" s="31" t="s">
        <v>82</v>
      </c>
      <c r="G179" s="51" t="s">
        <v>51</v>
      </c>
      <c r="H179" s="22"/>
      <c r="I179" s="22"/>
      <c r="J179" s="22"/>
    </row>
    <row r="180" spans="1:10" x14ac:dyDescent="0.25">
      <c r="A180" s="22"/>
      <c r="B180" s="25"/>
      <c r="C180" s="22"/>
      <c r="D180" s="747"/>
      <c r="E180" s="29"/>
      <c r="F180" s="747" t="s">
        <v>60</v>
      </c>
      <c r="G180" s="29" t="s">
        <v>72</v>
      </c>
      <c r="H180" s="25" t="s">
        <v>17</v>
      </c>
      <c r="I180" s="22"/>
      <c r="J180" s="25" t="s">
        <v>17</v>
      </c>
    </row>
    <row r="181" spans="1:10" x14ac:dyDescent="0.25">
      <c r="A181" s="22"/>
      <c r="B181" s="25"/>
      <c r="C181" s="22"/>
      <c r="D181" s="747"/>
      <c r="E181" s="29"/>
      <c r="F181" s="747"/>
      <c r="G181" s="29"/>
      <c r="H181" s="22"/>
      <c r="I181" s="22"/>
      <c r="J181" s="22"/>
    </row>
    <row r="182" spans="1:10" ht="9.75" customHeight="1" x14ac:dyDescent="0.25">
      <c r="A182" s="22"/>
      <c r="B182" s="25"/>
      <c r="C182" s="22"/>
      <c r="D182" s="36"/>
      <c r="E182" s="41"/>
      <c r="F182" s="36"/>
      <c r="G182" s="41"/>
      <c r="H182" s="22"/>
      <c r="I182" s="22"/>
      <c r="J182" s="22"/>
    </row>
    <row r="183" spans="1:10" x14ac:dyDescent="0.25">
      <c r="A183" s="22">
        <v>35</v>
      </c>
      <c r="B183" s="736" t="s">
        <v>52</v>
      </c>
      <c r="C183" s="22"/>
      <c r="D183" s="31"/>
      <c r="E183" s="41"/>
      <c r="F183" s="736" t="s">
        <v>134</v>
      </c>
      <c r="G183" s="41" t="s">
        <v>90</v>
      </c>
      <c r="H183" s="60">
        <v>70000000</v>
      </c>
      <c r="I183" s="60">
        <v>74000000</v>
      </c>
      <c r="J183" s="29" t="s">
        <v>202</v>
      </c>
    </row>
    <row r="184" spans="1:10" x14ac:dyDescent="0.25">
      <c r="A184" s="22"/>
      <c r="B184" s="736"/>
      <c r="C184" s="22"/>
      <c r="D184" s="31"/>
      <c r="E184" s="41"/>
      <c r="F184" s="736"/>
      <c r="G184" s="22"/>
      <c r="H184" s="25"/>
      <c r="I184" s="25"/>
      <c r="J184" s="22"/>
    </row>
    <row r="185" spans="1:10" x14ac:dyDescent="0.25">
      <c r="A185" s="22"/>
      <c r="B185" s="25"/>
      <c r="C185" s="22"/>
      <c r="D185" s="31"/>
      <c r="E185" s="29"/>
      <c r="F185" s="736"/>
      <c r="G185" s="22"/>
      <c r="H185" s="25"/>
      <c r="I185" s="25"/>
      <c r="J185" s="22"/>
    </row>
    <row r="186" spans="1:10" x14ac:dyDescent="0.25">
      <c r="A186" s="22"/>
      <c r="B186" s="31"/>
      <c r="C186" s="22"/>
      <c r="D186" s="31" t="s">
        <v>17</v>
      </c>
      <c r="E186" s="41"/>
      <c r="F186" s="25" t="s">
        <v>17</v>
      </c>
      <c r="G186" s="22"/>
      <c r="H186" s="63"/>
      <c r="I186" s="25"/>
      <c r="J186" s="22"/>
    </row>
    <row r="187" spans="1:10" x14ac:dyDescent="0.25">
      <c r="A187" s="22">
        <v>36</v>
      </c>
      <c r="B187" s="25" t="s">
        <v>53</v>
      </c>
      <c r="C187" s="22"/>
      <c r="D187" s="31"/>
      <c r="E187" s="41"/>
      <c r="F187" s="736" t="s">
        <v>136</v>
      </c>
      <c r="G187" s="41" t="s">
        <v>90</v>
      </c>
      <c r="H187" s="60">
        <v>100000000</v>
      </c>
      <c r="I187" s="60">
        <v>110000000</v>
      </c>
      <c r="J187" s="29" t="s">
        <v>202</v>
      </c>
    </row>
    <row r="188" spans="1:10" x14ac:dyDescent="0.25">
      <c r="A188" s="22"/>
      <c r="B188" s="736" t="s">
        <v>163</v>
      </c>
      <c r="C188" s="22"/>
      <c r="D188" s="31"/>
      <c r="E188" s="22"/>
      <c r="F188" s="736"/>
      <c r="G188" s="22"/>
      <c r="H188" s="22"/>
      <c r="I188" s="63"/>
      <c r="J188" s="22"/>
    </row>
    <row r="189" spans="1:10" x14ac:dyDescent="0.25">
      <c r="A189" s="22"/>
      <c r="B189" s="736"/>
      <c r="C189" s="22"/>
      <c r="D189" s="31"/>
      <c r="E189" s="22"/>
      <c r="F189" s="31"/>
      <c r="G189" s="22"/>
      <c r="H189" s="22"/>
      <c r="I189" s="60"/>
      <c r="J189" s="22"/>
    </row>
    <row r="190" spans="1:10" x14ac:dyDescent="0.25">
      <c r="A190" s="22"/>
      <c r="B190" s="22"/>
      <c r="C190" s="22"/>
      <c r="D190" s="36"/>
      <c r="E190" s="22"/>
      <c r="F190" s="22"/>
      <c r="G190" s="22"/>
      <c r="H190" s="22"/>
      <c r="I190" s="22"/>
      <c r="J190" s="22"/>
    </row>
    <row r="191" spans="1:10" x14ac:dyDescent="0.25">
      <c r="A191" s="22"/>
      <c r="B191" s="736" t="s">
        <v>208</v>
      </c>
      <c r="C191" s="22"/>
      <c r="D191" s="46"/>
      <c r="E191" s="25"/>
      <c r="F191" s="754" t="s">
        <v>210</v>
      </c>
      <c r="G191" s="25" t="s">
        <v>72</v>
      </c>
      <c r="H191" s="60">
        <v>60000000</v>
      </c>
      <c r="I191" s="60">
        <v>60000000</v>
      </c>
      <c r="J191" s="29" t="s">
        <v>202</v>
      </c>
    </row>
    <row r="192" spans="1:10" x14ac:dyDescent="0.25">
      <c r="A192" s="22">
        <v>37</v>
      </c>
      <c r="B192" s="736"/>
      <c r="C192" s="29" t="s">
        <v>222</v>
      </c>
      <c r="D192" s="47"/>
      <c r="E192" s="22"/>
      <c r="F192" s="738"/>
      <c r="G192" s="22"/>
      <c r="H192" s="25"/>
      <c r="I192" s="25"/>
      <c r="J192" s="22"/>
    </row>
    <row r="193" spans="1:11" x14ac:dyDescent="0.25">
      <c r="A193" s="22"/>
      <c r="B193" s="25"/>
      <c r="C193" s="22"/>
      <c r="D193" s="47"/>
      <c r="E193" s="22"/>
      <c r="F193" s="738"/>
      <c r="G193" s="22"/>
      <c r="H193" s="25"/>
      <c r="I193" s="25" t="s">
        <v>17</v>
      </c>
      <c r="J193" s="22"/>
    </row>
    <row r="194" spans="1:11" x14ac:dyDescent="0.25">
      <c r="A194" s="22"/>
      <c r="B194" s="30"/>
      <c r="C194" s="25" t="s">
        <v>17</v>
      </c>
      <c r="D194" s="22"/>
      <c r="E194" s="22"/>
      <c r="F194" s="22"/>
      <c r="G194" s="22"/>
      <c r="H194" s="66"/>
      <c r="I194" s="25"/>
      <c r="J194" s="22"/>
    </row>
    <row r="195" spans="1:11" x14ac:dyDescent="0.25">
      <c r="A195" s="22">
        <v>38</v>
      </c>
      <c r="B195" s="38" t="s">
        <v>143</v>
      </c>
      <c r="C195" s="22"/>
      <c r="D195" s="45"/>
      <c r="E195" s="29"/>
      <c r="F195" s="750" t="s">
        <v>145</v>
      </c>
      <c r="G195" s="29" t="s">
        <v>121</v>
      </c>
      <c r="H195" s="66">
        <v>75000000</v>
      </c>
      <c r="I195" s="66">
        <v>75000000</v>
      </c>
      <c r="J195" s="29" t="s">
        <v>202</v>
      </c>
    </row>
    <row r="196" spans="1:11" x14ac:dyDescent="0.25">
      <c r="A196" s="22"/>
      <c r="B196" s="32"/>
      <c r="C196" s="29" t="s">
        <v>222</v>
      </c>
      <c r="D196" s="45"/>
      <c r="E196" s="53"/>
      <c r="F196" s="750"/>
      <c r="G196" s="53"/>
      <c r="H196" s="22"/>
      <c r="I196" s="66"/>
      <c r="J196" s="22"/>
    </row>
    <row r="197" spans="1:11" x14ac:dyDescent="0.25">
      <c r="A197" s="22"/>
      <c r="B197" s="32"/>
      <c r="C197" s="114"/>
      <c r="D197" s="45"/>
      <c r="E197" s="53"/>
      <c r="F197" s="750"/>
      <c r="G197" s="53"/>
      <c r="H197" s="22"/>
      <c r="I197" s="106"/>
      <c r="J197" s="22"/>
    </row>
    <row r="198" spans="1:11" x14ac:dyDescent="0.25">
      <c r="A198" s="22"/>
      <c r="B198" s="32"/>
      <c r="C198" s="114"/>
      <c r="D198" s="22"/>
      <c r="E198" s="53"/>
      <c r="F198" s="22"/>
      <c r="G198" s="53"/>
      <c r="H198" s="22"/>
      <c r="I198" s="106"/>
      <c r="J198" s="22"/>
    </row>
    <row r="199" spans="1:11" x14ac:dyDescent="0.25">
      <c r="A199" s="22">
        <v>39</v>
      </c>
      <c r="B199" s="736" t="s">
        <v>147</v>
      </c>
      <c r="C199" s="114"/>
      <c r="D199" s="31"/>
      <c r="E199" s="29"/>
      <c r="F199" s="736" t="s">
        <v>146</v>
      </c>
      <c r="G199" s="29" t="s">
        <v>3</v>
      </c>
      <c r="H199" s="66">
        <v>40000000</v>
      </c>
      <c r="I199" s="66">
        <v>50000000</v>
      </c>
      <c r="J199" s="29" t="s">
        <v>202</v>
      </c>
    </row>
    <row r="200" spans="1:11" x14ac:dyDescent="0.25">
      <c r="A200" s="22"/>
      <c r="B200" s="736"/>
      <c r="C200" s="29" t="s">
        <v>222</v>
      </c>
      <c r="D200" s="31"/>
      <c r="E200" s="22"/>
      <c r="F200" s="736"/>
      <c r="G200" s="22"/>
      <c r="H200" s="22"/>
      <c r="I200" s="66"/>
      <c r="J200" s="22"/>
    </row>
    <row r="201" spans="1:11" x14ac:dyDescent="0.25">
      <c r="A201" s="22"/>
      <c r="B201" s="27"/>
      <c r="C201" s="22"/>
      <c r="D201" s="31"/>
      <c r="E201" s="22"/>
      <c r="F201" s="736"/>
      <c r="G201" s="22"/>
      <c r="H201" s="22"/>
      <c r="I201" s="25" t="s">
        <v>17</v>
      </c>
      <c r="J201" s="22"/>
    </row>
    <row r="202" spans="1:11" x14ac:dyDescent="0.25">
      <c r="A202" s="22"/>
      <c r="B202" s="27"/>
      <c r="C202" s="22"/>
      <c r="D202" s="31"/>
      <c r="E202" s="22"/>
      <c r="F202" s="27"/>
      <c r="G202" s="22"/>
      <c r="H202" s="22"/>
      <c r="I202" s="25"/>
      <c r="J202" s="22"/>
      <c r="K202" s="1" t="s">
        <v>17</v>
      </c>
    </row>
    <row r="203" spans="1:11" x14ac:dyDescent="0.25">
      <c r="A203" s="22"/>
      <c r="B203" s="27"/>
      <c r="C203" s="22"/>
      <c r="D203" s="31"/>
      <c r="E203" s="22"/>
      <c r="F203" s="27"/>
      <c r="G203" s="22"/>
      <c r="H203" s="22"/>
      <c r="I203" s="25"/>
      <c r="J203" s="22"/>
    </row>
    <row r="204" spans="1:11" x14ac:dyDescent="0.25">
      <c r="A204" s="22"/>
      <c r="B204" s="27"/>
      <c r="C204" s="22"/>
      <c r="D204" s="31"/>
      <c r="E204" s="22"/>
      <c r="F204" s="27"/>
      <c r="G204" s="22"/>
      <c r="H204" s="22"/>
      <c r="I204" s="25"/>
      <c r="J204" s="22"/>
    </row>
    <row r="205" spans="1:11" x14ac:dyDescent="0.25">
      <c r="A205" s="23"/>
      <c r="B205" s="81"/>
      <c r="C205" s="23"/>
      <c r="D205" s="86"/>
      <c r="E205" s="23"/>
      <c r="F205" s="81"/>
      <c r="G205" s="23"/>
      <c r="H205" s="23"/>
      <c r="I205" s="75"/>
      <c r="J205" s="23"/>
    </row>
    <row r="206" spans="1:11" x14ac:dyDescent="0.25">
      <c r="A206" s="71"/>
      <c r="B206" s="82"/>
      <c r="C206" s="79" t="s">
        <v>17</v>
      </c>
      <c r="D206" s="121"/>
      <c r="E206" s="71"/>
      <c r="F206" s="82"/>
      <c r="G206" s="71"/>
      <c r="H206" s="71"/>
      <c r="I206" s="79"/>
      <c r="J206" s="71"/>
    </row>
    <row r="207" spans="1:11" x14ac:dyDescent="0.25">
      <c r="B207" s="83"/>
      <c r="D207" s="87"/>
      <c r="F207" s="83"/>
      <c r="I207" s="1"/>
    </row>
    <row r="208" spans="1:11" x14ac:dyDescent="0.25">
      <c r="B208" s="83"/>
      <c r="D208" s="87"/>
      <c r="F208" s="83"/>
      <c r="I208" s="1"/>
    </row>
    <row r="209" spans="1:10" x14ac:dyDescent="0.25">
      <c r="B209" s="83"/>
      <c r="D209" s="87"/>
      <c r="F209" s="83"/>
      <c r="I209" s="1"/>
    </row>
    <row r="210" spans="1:10" x14ac:dyDescent="0.25">
      <c r="B210" s="83"/>
      <c r="D210" s="87"/>
      <c r="F210" s="83"/>
      <c r="I210" s="1"/>
    </row>
    <row r="211" spans="1:10" x14ac:dyDescent="0.25">
      <c r="B211" s="83"/>
      <c r="D211" s="87"/>
      <c r="F211" s="83"/>
      <c r="I211" s="1"/>
    </row>
    <row r="212" spans="1:10" x14ac:dyDescent="0.25">
      <c r="B212" s="83"/>
      <c r="D212" s="87"/>
      <c r="F212" s="83"/>
      <c r="I212" s="1"/>
    </row>
    <row r="213" spans="1:10" x14ac:dyDescent="0.25">
      <c r="B213" s="83"/>
      <c r="D213" s="87"/>
      <c r="F213" s="83"/>
      <c r="I213" s="1"/>
    </row>
    <row r="214" spans="1:10" x14ac:dyDescent="0.25">
      <c r="A214" s="746">
        <v>5</v>
      </c>
      <c r="B214" s="746"/>
      <c r="C214" s="746"/>
      <c r="D214" s="746"/>
      <c r="E214" s="746"/>
      <c r="F214" s="746"/>
      <c r="G214" s="746"/>
      <c r="H214" s="746"/>
      <c r="I214" s="746"/>
      <c r="J214" s="746"/>
    </row>
    <row r="215" spans="1:10" ht="12.75" customHeight="1" x14ac:dyDescent="0.25">
      <c r="A215" s="730" t="s">
        <v>197</v>
      </c>
      <c r="B215" s="98"/>
      <c r="C215" s="99"/>
      <c r="D215" s="722" t="s">
        <v>214</v>
      </c>
      <c r="E215" s="741"/>
      <c r="F215" s="741"/>
      <c r="G215" s="723"/>
      <c r="H215" s="734" t="s">
        <v>212</v>
      </c>
      <c r="I215" s="732" t="s">
        <v>219</v>
      </c>
      <c r="J215" s="21"/>
    </row>
    <row r="216" spans="1:10" x14ac:dyDescent="0.25">
      <c r="A216" s="740"/>
      <c r="B216" s="742" t="s">
        <v>213</v>
      </c>
      <c r="C216" s="740" t="s">
        <v>198</v>
      </c>
      <c r="D216" s="744" t="s">
        <v>199</v>
      </c>
      <c r="E216" s="745"/>
      <c r="F216" s="744" t="s">
        <v>211</v>
      </c>
      <c r="G216" s="745"/>
      <c r="H216" s="735"/>
      <c r="I216" s="733"/>
      <c r="J216" s="22"/>
    </row>
    <row r="217" spans="1:10" x14ac:dyDescent="0.25">
      <c r="A217" s="731"/>
      <c r="B217" s="743"/>
      <c r="C217" s="731"/>
      <c r="D217" s="100" t="s">
        <v>200</v>
      </c>
      <c r="E217" s="100" t="s">
        <v>74</v>
      </c>
      <c r="F217" s="100" t="s">
        <v>200</v>
      </c>
      <c r="G217" s="100" t="s">
        <v>74</v>
      </c>
      <c r="H217" s="101" t="s">
        <v>203</v>
      </c>
      <c r="I217" s="101" t="s">
        <v>218</v>
      </c>
      <c r="J217" s="23"/>
    </row>
    <row r="218" spans="1:10" x14ac:dyDescent="0.25">
      <c r="A218" s="20">
        <v>1</v>
      </c>
      <c r="B218" s="59">
        <v>2</v>
      </c>
      <c r="C218" s="72">
        <v>3</v>
      </c>
      <c r="D218" s="20">
        <v>4</v>
      </c>
      <c r="E218" s="20">
        <v>5</v>
      </c>
      <c r="F218" s="20">
        <v>6</v>
      </c>
      <c r="G218" s="20">
        <v>7</v>
      </c>
      <c r="H218" s="20">
        <v>8</v>
      </c>
      <c r="I218" s="20">
        <v>9</v>
      </c>
      <c r="J218" s="20">
        <v>10</v>
      </c>
    </row>
    <row r="219" spans="1:10" ht="12.75" customHeight="1" x14ac:dyDescent="0.25">
      <c r="A219" s="22"/>
      <c r="B219" s="751" t="s">
        <v>166</v>
      </c>
      <c r="C219" s="752"/>
      <c r="D219" s="122"/>
      <c r="E219" s="22"/>
      <c r="F219" s="22"/>
      <c r="G219" s="22"/>
      <c r="H219" s="22"/>
      <c r="I219" s="22"/>
      <c r="J219" s="22"/>
    </row>
    <row r="220" spans="1:10" x14ac:dyDescent="0.25">
      <c r="A220" s="117" t="s">
        <v>131</v>
      </c>
      <c r="B220" s="742" t="s">
        <v>158</v>
      </c>
      <c r="C220" s="22"/>
      <c r="D220" s="753" t="s">
        <v>159</v>
      </c>
      <c r="E220" s="49" t="s">
        <v>171</v>
      </c>
      <c r="F220" s="22"/>
      <c r="G220" s="22"/>
      <c r="H220" s="22"/>
      <c r="I220" s="22"/>
      <c r="J220" s="22"/>
    </row>
    <row r="221" spans="1:10" x14ac:dyDescent="0.25">
      <c r="A221" s="22"/>
      <c r="B221" s="742"/>
      <c r="C221" s="22"/>
      <c r="D221" s="753"/>
      <c r="E221" s="22"/>
      <c r="F221" s="22"/>
      <c r="G221" s="22"/>
      <c r="H221" s="22"/>
      <c r="I221" s="22"/>
      <c r="J221" s="22"/>
    </row>
    <row r="222" spans="1:10" x14ac:dyDescent="0.25">
      <c r="A222" s="22"/>
      <c r="B222" s="742"/>
      <c r="C222" s="22"/>
      <c r="D222" s="44"/>
      <c r="E222" s="22"/>
      <c r="F222" s="22"/>
      <c r="G222" s="22"/>
      <c r="H222" s="22"/>
      <c r="I222" s="22"/>
      <c r="J222" s="22"/>
    </row>
    <row r="223" spans="1:10" x14ac:dyDescent="0.25">
      <c r="A223" s="22"/>
      <c r="B223" s="39" t="s">
        <v>17</v>
      </c>
      <c r="C223" s="22"/>
      <c r="D223" s="22"/>
      <c r="E223" s="22"/>
      <c r="F223" s="25" t="s">
        <v>17</v>
      </c>
      <c r="G223" s="22"/>
      <c r="H223" s="22"/>
      <c r="I223" s="22"/>
      <c r="J223" s="22"/>
    </row>
    <row r="224" spans="1:10" ht="12.75" customHeight="1" x14ac:dyDescent="0.25">
      <c r="A224" s="22">
        <v>40</v>
      </c>
      <c r="B224" s="750" t="s">
        <v>164</v>
      </c>
      <c r="C224" s="29" t="s">
        <v>223</v>
      </c>
      <c r="D224" s="31"/>
      <c r="E224" s="55"/>
      <c r="F224" s="736" t="s">
        <v>57</v>
      </c>
      <c r="G224" s="55" t="s">
        <v>140</v>
      </c>
      <c r="H224" s="63">
        <v>132506000</v>
      </c>
      <c r="I224" s="63">
        <v>144803000</v>
      </c>
      <c r="J224" s="29" t="s">
        <v>202</v>
      </c>
    </row>
    <row r="225" spans="1:10" ht="12.75" customHeight="1" x14ac:dyDescent="0.25">
      <c r="A225" s="22"/>
      <c r="B225" s="750"/>
      <c r="C225" s="22"/>
      <c r="D225" s="31"/>
      <c r="E225" s="56"/>
      <c r="F225" s="738"/>
      <c r="G225" s="56" t="s">
        <v>139</v>
      </c>
      <c r="H225" s="25"/>
      <c r="I225" s="25"/>
      <c r="J225" s="22"/>
    </row>
    <row r="226" spans="1:10" x14ac:dyDescent="0.25">
      <c r="A226" s="22"/>
      <c r="B226" s="750"/>
      <c r="C226" s="22"/>
      <c r="D226" s="31"/>
      <c r="E226" s="56"/>
      <c r="F226" s="47"/>
      <c r="G226" s="22"/>
      <c r="H226" s="25"/>
      <c r="I226" s="25"/>
      <c r="J226" s="22"/>
    </row>
    <row r="227" spans="1:10" x14ac:dyDescent="0.25">
      <c r="A227" s="22"/>
      <c r="B227" s="31"/>
      <c r="C227" s="22"/>
      <c r="D227" s="22"/>
      <c r="E227" s="29"/>
      <c r="F227" s="22"/>
      <c r="G227" s="22"/>
      <c r="H227" s="60"/>
      <c r="I227" s="25"/>
      <c r="J227" s="22"/>
    </row>
    <row r="228" spans="1:10" x14ac:dyDescent="0.25">
      <c r="A228" s="22">
        <v>41</v>
      </c>
      <c r="B228" s="736" t="s">
        <v>172</v>
      </c>
      <c r="C228" s="29" t="s">
        <v>223</v>
      </c>
      <c r="D228" s="31"/>
      <c r="E228" s="25"/>
      <c r="F228" s="736" t="s">
        <v>173</v>
      </c>
      <c r="G228" s="29" t="s">
        <v>68</v>
      </c>
      <c r="H228" s="60">
        <v>123200000</v>
      </c>
      <c r="I228" s="60">
        <v>146000000</v>
      </c>
      <c r="J228" s="29" t="s">
        <v>202</v>
      </c>
    </row>
    <row r="229" spans="1:10" x14ac:dyDescent="0.25">
      <c r="A229" s="22"/>
      <c r="B229" s="736"/>
      <c r="C229" s="114"/>
      <c r="D229" s="31"/>
      <c r="E229" s="25"/>
      <c r="F229" s="736"/>
      <c r="G229" s="22"/>
      <c r="H229" s="25"/>
      <c r="I229" s="25"/>
      <c r="J229" s="22"/>
    </row>
    <row r="230" spans="1:10" x14ac:dyDescent="0.25">
      <c r="A230" s="22"/>
      <c r="B230" s="736"/>
      <c r="C230" s="114"/>
      <c r="D230" s="47"/>
      <c r="E230" s="25"/>
      <c r="F230" s="47"/>
      <c r="G230" s="22"/>
      <c r="H230" s="25" t="s">
        <v>17</v>
      </c>
      <c r="I230" s="25"/>
      <c r="J230" s="22"/>
    </row>
    <row r="231" spans="1:10" x14ac:dyDescent="0.25">
      <c r="A231" s="22"/>
      <c r="B231" s="47"/>
      <c r="C231" s="114"/>
      <c r="D231" s="31"/>
      <c r="E231" s="45"/>
      <c r="F231" s="22"/>
      <c r="G231" s="22"/>
      <c r="H231" s="25"/>
      <c r="I231" s="25"/>
      <c r="J231" s="25" t="s">
        <v>17</v>
      </c>
    </row>
    <row r="232" spans="1:10" ht="12.75" customHeight="1" x14ac:dyDescent="0.25">
      <c r="A232" s="22">
        <v>42</v>
      </c>
      <c r="B232" s="736" t="s">
        <v>174</v>
      </c>
      <c r="C232" s="29" t="s">
        <v>223</v>
      </c>
      <c r="D232" s="31"/>
      <c r="E232" s="31"/>
      <c r="F232" s="736" t="s">
        <v>69</v>
      </c>
      <c r="G232" s="41" t="s">
        <v>142</v>
      </c>
      <c r="H232" s="67">
        <v>124950000</v>
      </c>
      <c r="I232" s="67">
        <v>124950000</v>
      </c>
      <c r="J232" s="29" t="s">
        <v>202</v>
      </c>
    </row>
    <row r="233" spans="1:10" ht="15" customHeight="1" x14ac:dyDescent="0.25">
      <c r="A233" s="22"/>
      <c r="B233" s="738"/>
      <c r="C233" s="22"/>
      <c r="D233" s="31" t="s">
        <v>17</v>
      </c>
      <c r="E233" s="41"/>
      <c r="F233" s="736"/>
      <c r="G233" s="41" t="s">
        <v>84</v>
      </c>
      <c r="H233" s="32"/>
      <c r="I233" s="25"/>
      <c r="J233" s="22"/>
    </row>
    <row r="234" spans="1:10" x14ac:dyDescent="0.25">
      <c r="A234" s="22"/>
      <c r="B234" s="37"/>
      <c r="C234" s="22"/>
      <c r="D234" s="31"/>
      <c r="E234" s="31"/>
      <c r="F234" s="736"/>
      <c r="G234" s="736" t="s">
        <v>141</v>
      </c>
      <c r="H234" s="32"/>
      <c r="I234" s="25" t="s">
        <v>17</v>
      </c>
      <c r="J234" s="22"/>
    </row>
    <row r="235" spans="1:10" x14ac:dyDescent="0.25">
      <c r="A235" s="22"/>
      <c r="B235" s="37"/>
      <c r="C235" s="22"/>
      <c r="D235" s="31"/>
      <c r="E235" s="47"/>
      <c r="F235" s="736"/>
      <c r="G235" s="738"/>
      <c r="H235" s="25"/>
      <c r="I235" s="25"/>
      <c r="J235" s="22"/>
    </row>
    <row r="236" spans="1:10" x14ac:dyDescent="0.25">
      <c r="A236" s="22"/>
      <c r="B236" s="37" t="s">
        <v>17</v>
      </c>
      <c r="C236" s="22"/>
      <c r="D236" s="31"/>
      <c r="E236" s="47"/>
      <c r="F236" s="736"/>
      <c r="G236" s="47"/>
      <c r="H236" s="63"/>
      <c r="I236" s="32" t="s">
        <v>17</v>
      </c>
      <c r="J236" s="22"/>
    </row>
    <row r="237" spans="1:10" x14ac:dyDescent="0.25">
      <c r="A237" s="22"/>
      <c r="B237" s="32"/>
      <c r="C237" s="22"/>
      <c r="D237" s="25"/>
      <c r="E237" s="58"/>
      <c r="F237" s="25"/>
      <c r="G237" s="58"/>
      <c r="H237" s="22"/>
      <c r="I237" s="32"/>
      <c r="J237" s="22"/>
    </row>
    <row r="238" spans="1:10" x14ac:dyDescent="0.25">
      <c r="A238" s="22">
        <v>43</v>
      </c>
      <c r="B238" s="736" t="s">
        <v>175</v>
      </c>
      <c r="C238" s="29" t="s">
        <v>224</v>
      </c>
      <c r="D238" s="31"/>
      <c r="E238" s="58"/>
      <c r="F238" s="747" t="s">
        <v>176</v>
      </c>
      <c r="G238" s="749" t="s">
        <v>157</v>
      </c>
      <c r="H238" s="63">
        <v>175000000</v>
      </c>
      <c r="I238" s="60">
        <v>195000000</v>
      </c>
      <c r="J238" s="29" t="s">
        <v>202</v>
      </c>
    </row>
    <row r="239" spans="1:10" x14ac:dyDescent="0.25">
      <c r="A239" s="22"/>
      <c r="B239" s="738"/>
      <c r="C239" s="22"/>
      <c r="D239" s="31"/>
      <c r="E239" s="58"/>
      <c r="F239" s="747"/>
      <c r="G239" s="749"/>
      <c r="H239" s="22"/>
      <c r="I239" s="60"/>
      <c r="J239" s="25" t="s">
        <v>17</v>
      </c>
    </row>
    <row r="240" spans="1:10" x14ac:dyDescent="0.25">
      <c r="A240" s="22"/>
      <c r="B240" s="45"/>
      <c r="C240" s="22"/>
      <c r="D240" s="31"/>
      <c r="E240" s="58"/>
      <c r="F240" s="747"/>
      <c r="G240" s="58"/>
      <c r="H240" s="22"/>
      <c r="I240" s="25"/>
      <c r="J240" s="22"/>
    </row>
    <row r="241" spans="1:11" x14ac:dyDescent="0.25">
      <c r="A241" s="22"/>
      <c r="B241" s="45"/>
      <c r="C241" s="22"/>
      <c r="D241" s="40"/>
      <c r="E241" s="58"/>
      <c r="F241" s="40"/>
      <c r="G241" s="58"/>
      <c r="H241" s="22"/>
      <c r="I241" s="25" t="s">
        <v>17</v>
      </c>
      <c r="J241" s="22"/>
    </row>
    <row r="242" spans="1:11" ht="15.75" customHeight="1" x14ac:dyDescent="0.25">
      <c r="A242" s="22">
        <v>44</v>
      </c>
      <c r="B242" s="736" t="s">
        <v>151</v>
      </c>
      <c r="C242" s="51" t="s">
        <v>222</v>
      </c>
      <c r="D242" s="31"/>
      <c r="E242" s="26"/>
      <c r="F242" s="736" t="s">
        <v>177</v>
      </c>
      <c r="G242" s="26" t="s">
        <v>178</v>
      </c>
      <c r="H242" s="60">
        <v>54000000</v>
      </c>
      <c r="I242" s="60">
        <v>62000000</v>
      </c>
      <c r="J242" s="29" t="s">
        <v>202</v>
      </c>
    </row>
    <row r="243" spans="1:11" ht="15.75" customHeight="1" x14ac:dyDescent="0.25">
      <c r="A243" s="22"/>
      <c r="B243" s="736"/>
      <c r="C243" s="22"/>
      <c r="D243" s="31"/>
      <c r="E243" s="26"/>
      <c r="F243" s="736"/>
      <c r="G243" s="26"/>
      <c r="H243" s="60"/>
      <c r="I243" s="60"/>
      <c r="J243" s="29"/>
    </row>
    <row r="244" spans="1:11" x14ac:dyDescent="0.25">
      <c r="A244" s="22"/>
      <c r="B244" s="31"/>
      <c r="C244" s="29"/>
      <c r="D244" s="31"/>
      <c r="E244" s="31"/>
      <c r="F244" s="22"/>
      <c r="G244" s="22"/>
      <c r="H244" s="22"/>
      <c r="I244" s="60"/>
      <c r="J244" s="22"/>
    </row>
    <row r="245" spans="1:11" x14ac:dyDescent="0.25">
      <c r="A245" s="22">
        <v>45</v>
      </c>
      <c r="B245" s="739" t="s">
        <v>150</v>
      </c>
      <c r="C245" s="29" t="s">
        <v>1</v>
      </c>
      <c r="D245" s="736" t="s">
        <v>17</v>
      </c>
      <c r="E245" s="31"/>
      <c r="F245" s="736" t="s">
        <v>67</v>
      </c>
      <c r="G245" s="736" t="s">
        <v>122</v>
      </c>
      <c r="H245" s="22"/>
      <c r="I245" s="39"/>
      <c r="J245" s="22"/>
    </row>
    <row r="246" spans="1:11" x14ac:dyDescent="0.25">
      <c r="A246" s="22"/>
      <c r="B246" s="739"/>
      <c r="C246" s="22"/>
      <c r="D246" s="736"/>
      <c r="E246" s="31"/>
      <c r="F246" s="736"/>
      <c r="G246" s="736"/>
      <c r="H246" s="22"/>
      <c r="I246" s="25"/>
      <c r="J246" s="22"/>
    </row>
    <row r="247" spans="1:11" x14ac:dyDescent="0.25">
      <c r="A247" s="22"/>
      <c r="B247" s="30"/>
      <c r="C247" s="29"/>
      <c r="D247" s="31"/>
      <c r="E247" s="57"/>
      <c r="F247" s="31"/>
      <c r="G247" s="57"/>
      <c r="H247" s="60"/>
      <c r="I247" s="25" t="s">
        <v>17</v>
      </c>
      <c r="J247" s="25" t="s">
        <v>17</v>
      </c>
      <c r="K247" s="1" t="s">
        <v>17</v>
      </c>
    </row>
    <row r="248" spans="1:11" x14ac:dyDescent="0.25">
      <c r="A248" s="22">
        <v>46</v>
      </c>
      <c r="B248" s="736" t="s">
        <v>89</v>
      </c>
      <c r="C248" s="29" t="s">
        <v>226</v>
      </c>
      <c r="D248" s="31"/>
      <c r="E248" s="57"/>
      <c r="F248" s="736" t="s">
        <v>88</v>
      </c>
      <c r="G248" s="57" t="s">
        <v>215</v>
      </c>
      <c r="H248" s="60">
        <v>210000000</v>
      </c>
      <c r="I248" s="60">
        <v>210000000</v>
      </c>
      <c r="J248" s="29" t="s">
        <v>202</v>
      </c>
    </row>
    <row r="249" spans="1:11" x14ac:dyDescent="0.25">
      <c r="A249" s="22"/>
      <c r="B249" s="738"/>
      <c r="C249" s="25" t="s">
        <v>17</v>
      </c>
      <c r="D249" s="31" t="s">
        <v>17</v>
      </c>
      <c r="E249" s="29"/>
      <c r="F249" s="738"/>
      <c r="G249" s="29"/>
      <c r="H249" s="22"/>
      <c r="I249" s="25"/>
      <c r="J249" s="22"/>
    </row>
    <row r="250" spans="1:11" x14ac:dyDescent="0.25">
      <c r="A250" s="22"/>
      <c r="B250" s="37"/>
      <c r="C250" s="22"/>
      <c r="D250" s="47"/>
      <c r="E250" s="29"/>
      <c r="F250" s="738"/>
      <c r="G250" s="29"/>
      <c r="H250" s="22"/>
      <c r="I250" s="60"/>
      <c r="J250" s="22"/>
      <c r="K250" s="1" t="s">
        <v>17</v>
      </c>
    </row>
    <row r="251" spans="1:11" x14ac:dyDescent="0.25">
      <c r="A251" s="22"/>
      <c r="B251" s="31"/>
      <c r="C251" s="29"/>
      <c r="D251" s="31" t="s">
        <v>17</v>
      </c>
      <c r="E251" s="29"/>
      <c r="F251" s="31"/>
      <c r="G251" s="29"/>
      <c r="H251" s="67"/>
      <c r="I251" s="60"/>
      <c r="J251" s="22"/>
    </row>
    <row r="252" spans="1:11" x14ac:dyDescent="0.25">
      <c r="A252" s="22">
        <v>47</v>
      </c>
      <c r="B252" s="736" t="s">
        <v>179</v>
      </c>
      <c r="C252" s="29" t="s">
        <v>226</v>
      </c>
      <c r="D252" s="31"/>
      <c r="E252" s="29"/>
      <c r="F252" s="736" t="s">
        <v>71</v>
      </c>
      <c r="G252" s="29" t="s">
        <v>86</v>
      </c>
      <c r="H252" s="67">
        <v>75000000</v>
      </c>
      <c r="I252" s="67">
        <v>85000000</v>
      </c>
      <c r="J252" s="29" t="s">
        <v>202</v>
      </c>
    </row>
    <row r="253" spans="1:11" x14ac:dyDescent="0.25">
      <c r="A253" s="22"/>
      <c r="B253" s="736"/>
      <c r="C253" s="22"/>
      <c r="D253" s="47"/>
      <c r="E253" s="51"/>
      <c r="F253" s="738"/>
      <c r="G253" s="51" t="s">
        <v>87</v>
      </c>
      <c r="H253" s="25"/>
      <c r="I253" s="60"/>
      <c r="J253" s="22"/>
      <c r="K253" s="1" t="s">
        <v>17</v>
      </c>
    </row>
    <row r="254" spans="1:11" x14ac:dyDescent="0.25">
      <c r="A254" s="22"/>
      <c r="B254" s="25"/>
      <c r="C254" s="22"/>
      <c r="D254" s="47"/>
      <c r="E254" s="25"/>
      <c r="F254" s="738"/>
      <c r="G254" s="25"/>
      <c r="H254" s="25"/>
      <c r="I254" s="25"/>
      <c r="J254" s="22"/>
      <c r="K254" s="1" t="s">
        <v>17</v>
      </c>
    </row>
    <row r="255" spans="1:11" x14ac:dyDescent="0.25">
      <c r="A255" s="22"/>
      <c r="B255" s="25"/>
      <c r="C255" s="29"/>
      <c r="D255" s="31" t="s">
        <v>17</v>
      </c>
      <c r="E255" s="25"/>
      <c r="F255" s="47"/>
      <c r="G255" s="25"/>
      <c r="H255" s="25"/>
      <c r="I255" s="25"/>
      <c r="J255" s="22"/>
    </row>
    <row r="256" spans="1:11" x14ac:dyDescent="0.25">
      <c r="A256" s="22">
        <v>48</v>
      </c>
      <c r="B256" s="736" t="s">
        <v>180</v>
      </c>
      <c r="C256" s="29" t="s">
        <v>231</v>
      </c>
      <c r="D256" s="747" t="s">
        <v>17</v>
      </c>
      <c r="E256" s="45"/>
      <c r="F256" s="747" t="s">
        <v>181</v>
      </c>
      <c r="G256" s="736" t="s">
        <v>182</v>
      </c>
      <c r="H256" s="65">
        <v>265000000</v>
      </c>
      <c r="I256" s="65">
        <v>265000000</v>
      </c>
      <c r="J256" s="29" t="s">
        <v>202</v>
      </c>
    </row>
    <row r="257" spans="1:11" x14ac:dyDescent="0.25">
      <c r="A257" s="22"/>
      <c r="B257" s="736"/>
      <c r="C257" s="22"/>
      <c r="D257" s="747"/>
      <c r="E257" s="45"/>
      <c r="F257" s="747"/>
      <c r="G257" s="736"/>
      <c r="H257" s="22"/>
      <c r="I257" s="25"/>
      <c r="J257" s="22"/>
      <c r="K257" s="1" t="s">
        <v>17</v>
      </c>
    </row>
    <row r="258" spans="1:11" x14ac:dyDescent="0.25">
      <c r="A258" s="22"/>
      <c r="B258" s="41" t="s">
        <v>17</v>
      </c>
      <c r="C258" s="22"/>
      <c r="D258" s="22"/>
      <c r="E258" s="45"/>
      <c r="F258" s="22"/>
      <c r="G258" s="736"/>
      <c r="H258" s="22"/>
      <c r="I258" s="67"/>
      <c r="J258" s="22"/>
    </row>
    <row r="259" spans="1:11" x14ac:dyDescent="0.25">
      <c r="A259" s="22"/>
      <c r="B259" s="25"/>
      <c r="C259" s="51"/>
      <c r="D259" s="22"/>
      <c r="E259" s="25"/>
      <c r="F259" s="22"/>
      <c r="G259" s="25"/>
      <c r="H259" s="22"/>
      <c r="I259" s="25"/>
      <c r="J259" s="22"/>
    </row>
    <row r="260" spans="1:11" ht="15.75" customHeight="1" x14ac:dyDescent="0.25">
      <c r="A260" s="22">
        <v>49</v>
      </c>
      <c r="B260" s="736" t="s">
        <v>183</v>
      </c>
      <c r="C260" s="51" t="s">
        <v>222</v>
      </c>
      <c r="D260" s="31"/>
      <c r="E260" s="748"/>
      <c r="F260" s="31" t="s">
        <v>184</v>
      </c>
      <c r="G260" s="748" t="s">
        <v>185</v>
      </c>
      <c r="H260" s="63">
        <v>60000000</v>
      </c>
      <c r="I260" s="63">
        <v>65000000</v>
      </c>
      <c r="J260" s="29" t="s">
        <v>202</v>
      </c>
    </row>
    <row r="261" spans="1:11" x14ac:dyDescent="0.25">
      <c r="A261" s="22"/>
      <c r="B261" s="738"/>
      <c r="C261" s="22"/>
      <c r="D261" s="31"/>
      <c r="E261" s="748"/>
      <c r="F261" s="31"/>
      <c r="G261" s="748"/>
      <c r="H261" s="25"/>
      <c r="I261" s="25"/>
      <c r="J261" s="22"/>
    </row>
    <row r="262" spans="1:11" x14ac:dyDescent="0.25">
      <c r="A262" s="22"/>
      <c r="B262" s="31"/>
      <c r="C262" s="22"/>
      <c r="D262" s="31"/>
      <c r="E262" s="37"/>
      <c r="F262" s="31"/>
      <c r="G262" s="37"/>
      <c r="H262" s="25"/>
      <c r="I262" s="25"/>
      <c r="J262" s="22"/>
    </row>
    <row r="263" spans="1:11" x14ac:dyDescent="0.25">
      <c r="A263" s="23"/>
      <c r="B263" s="86"/>
      <c r="C263" s="23"/>
      <c r="D263" s="86"/>
      <c r="E263" s="88"/>
      <c r="F263" s="86"/>
      <c r="G263" s="88"/>
      <c r="H263" s="75"/>
      <c r="I263" s="65"/>
      <c r="J263" s="23"/>
    </row>
    <row r="264" spans="1:11" x14ac:dyDescent="0.25">
      <c r="A264" s="71"/>
      <c r="B264" s="121" t="s">
        <v>17</v>
      </c>
      <c r="C264" s="71"/>
      <c r="D264" s="121"/>
      <c r="E264" s="89"/>
      <c r="F264" s="121"/>
      <c r="G264" s="89"/>
      <c r="H264" s="79"/>
      <c r="I264" s="79"/>
      <c r="J264" s="71"/>
    </row>
    <row r="265" spans="1:11" x14ac:dyDescent="0.25">
      <c r="B265" s="87"/>
      <c r="D265" s="87"/>
      <c r="E265" s="90"/>
      <c r="F265" s="87"/>
      <c r="G265" s="90"/>
      <c r="H265" s="1"/>
      <c r="I265" s="1"/>
    </row>
    <row r="266" spans="1:11" x14ac:dyDescent="0.25">
      <c r="B266" s="87"/>
      <c r="D266" s="87"/>
      <c r="E266" s="90"/>
      <c r="F266" s="87"/>
      <c r="G266" s="90"/>
      <c r="H266" s="1"/>
      <c r="I266" s="1"/>
    </row>
    <row r="267" spans="1:11" x14ac:dyDescent="0.25">
      <c r="B267" s="87"/>
      <c r="C267" s="1" t="s">
        <v>17</v>
      </c>
      <c r="D267" s="87"/>
      <c r="E267" s="90"/>
      <c r="F267" s="87"/>
      <c r="G267" s="90"/>
      <c r="H267" s="1"/>
    </row>
    <row r="268" spans="1:11" x14ac:dyDescent="0.25">
      <c r="B268" s="87"/>
      <c r="D268" s="87"/>
      <c r="E268" s="90"/>
      <c r="F268" s="87"/>
      <c r="G268" s="90"/>
      <c r="H268" s="1"/>
    </row>
    <row r="269" spans="1:11" x14ac:dyDescent="0.25">
      <c r="A269" s="746">
        <v>6</v>
      </c>
      <c r="B269" s="746"/>
      <c r="C269" s="746"/>
      <c r="D269" s="746"/>
      <c r="E269" s="746"/>
      <c r="F269" s="746"/>
      <c r="G269" s="746"/>
      <c r="H269" s="746"/>
      <c r="I269" s="746"/>
      <c r="J269" s="746"/>
    </row>
    <row r="270" spans="1:11" ht="12.75" customHeight="1" x14ac:dyDescent="0.25">
      <c r="A270" s="730" t="s">
        <v>197</v>
      </c>
      <c r="B270" s="98"/>
      <c r="C270" s="99"/>
      <c r="D270" s="722" t="s">
        <v>214</v>
      </c>
      <c r="E270" s="741"/>
      <c r="F270" s="741"/>
      <c r="G270" s="723"/>
      <c r="H270" s="734" t="s">
        <v>212</v>
      </c>
      <c r="I270" s="732" t="s">
        <v>219</v>
      </c>
      <c r="J270" s="21"/>
    </row>
    <row r="271" spans="1:11" x14ac:dyDescent="0.25">
      <c r="A271" s="740"/>
      <c r="B271" s="742" t="s">
        <v>213</v>
      </c>
      <c r="C271" s="740" t="s">
        <v>198</v>
      </c>
      <c r="D271" s="744" t="s">
        <v>199</v>
      </c>
      <c r="E271" s="745"/>
      <c r="F271" s="744" t="s">
        <v>211</v>
      </c>
      <c r="G271" s="745"/>
      <c r="H271" s="735"/>
      <c r="I271" s="733"/>
      <c r="J271" s="22"/>
    </row>
    <row r="272" spans="1:11" x14ac:dyDescent="0.25">
      <c r="A272" s="731"/>
      <c r="B272" s="743"/>
      <c r="C272" s="731"/>
      <c r="D272" s="100" t="s">
        <v>200</v>
      </c>
      <c r="E272" s="100" t="s">
        <v>74</v>
      </c>
      <c r="F272" s="100" t="s">
        <v>200</v>
      </c>
      <c r="G272" s="100" t="s">
        <v>74</v>
      </c>
      <c r="H272" s="101" t="s">
        <v>203</v>
      </c>
      <c r="I272" s="101" t="s">
        <v>218</v>
      </c>
      <c r="J272" s="23"/>
    </row>
    <row r="273" spans="1:11" x14ac:dyDescent="0.25">
      <c r="A273" s="20">
        <v>1</v>
      </c>
      <c r="B273" s="59">
        <v>2</v>
      </c>
      <c r="C273" s="72">
        <v>3</v>
      </c>
      <c r="D273" s="20">
        <v>4</v>
      </c>
      <c r="E273" s="20">
        <v>5</v>
      </c>
      <c r="F273" s="20">
        <v>6</v>
      </c>
      <c r="G273" s="20">
        <v>7</v>
      </c>
      <c r="H273" s="20">
        <v>8</v>
      </c>
      <c r="I273" s="20">
        <v>9</v>
      </c>
      <c r="J273" s="20">
        <v>10</v>
      </c>
    </row>
    <row r="274" spans="1:11" x14ac:dyDescent="0.25">
      <c r="A274" s="22">
        <v>50</v>
      </c>
      <c r="B274" s="736" t="s">
        <v>186</v>
      </c>
      <c r="C274" s="25" t="s">
        <v>17</v>
      </c>
      <c r="D274" s="31"/>
      <c r="E274" s="736"/>
      <c r="F274" s="736" t="s">
        <v>187</v>
      </c>
      <c r="G274" s="736" t="s">
        <v>216</v>
      </c>
      <c r="H274" s="63">
        <v>125000000</v>
      </c>
      <c r="I274" s="111">
        <v>125000000</v>
      </c>
      <c r="J274" s="29" t="s">
        <v>202</v>
      </c>
    </row>
    <row r="275" spans="1:11" x14ac:dyDescent="0.25">
      <c r="A275" s="22"/>
      <c r="B275" s="736"/>
      <c r="C275" s="22"/>
      <c r="D275" s="47"/>
      <c r="E275" s="738"/>
      <c r="F275" s="738"/>
      <c r="G275" s="738"/>
      <c r="H275" s="22"/>
      <c r="I275" s="22"/>
      <c r="J275" s="22"/>
    </row>
    <row r="276" spans="1:11" x14ac:dyDescent="0.25">
      <c r="A276" s="22"/>
      <c r="B276" s="736"/>
      <c r="C276" s="22"/>
      <c r="D276" s="47"/>
      <c r="E276" s="738"/>
      <c r="F276" s="738"/>
      <c r="G276" s="47"/>
      <c r="H276" s="22"/>
      <c r="I276" s="22"/>
      <c r="J276" s="22"/>
    </row>
    <row r="277" spans="1:11" x14ac:dyDescent="0.25">
      <c r="A277" s="22"/>
      <c r="B277" s="22"/>
      <c r="C277" s="22"/>
      <c r="D277" s="25" t="s">
        <v>17</v>
      </c>
      <c r="E277" s="22"/>
      <c r="F277" s="22"/>
      <c r="G277" s="22"/>
      <c r="H277" s="22"/>
      <c r="I277" s="22"/>
      <c r="J277" s="22"/>
    </row>
    <row r="278" spans="1:11" ht="24" customHeight="1" x14ac:dyDescent="0.25">
      <c r="A278" s="22">
        <v>51</v>
      </c>
      <c r="B278" s="31" t="s">
        <v>188</v>
      </c>
      <c r="C278" s="51" t="s">
        <v>233</v>
      </c>
      <c r="D278" s="31"/>
      <c r="E278" s="45"/>
      <c r="F278" s="736" t="s">
        <v>189</v>
      </c>
      <c r="G278" s="736" t="s">
        <v>190</v>
      </c>
      <c r="H278" s="68">
        <v>95000000</v>
      </c>
      <c r="I278" s="68">
        <v>95300000</v>
      </c>
      <c r="J278" s="29" t="s">
        <v>202</v>
      </c>
    </row>
    <row r="279" spans="1:11" ht="12.75" customHeight="1" x14ac:dyDescent="0.25">
      <c r="A279" s="22"/>
      <c r="B279" s="31"/>
      <c r="C279" s="22"/>
      <c r="D279" s="47"/>
      <c r="E279" s="45"/>
      <c r="F279" s="738"/>
      <c r="G279" s="738"/>
      <c r="H279" s="68"/>
      <c r="I279" s="112"/>
      <c r="J279" s="22"/>
    </row>
    <row r="280" spans="1:11" x14ac:dyDescent="0.25">
      <c r="A280" s="22"/>
      <c r="B280" s="27"/>
      <c r="C280" s="22"/>
      <c r="D280" s="25"/>
      <c r="E280" s="22"/>
      <c r="F280" s="22"/>
      <c r="G280" s="25" t="s">
        <v>17</v>
      </c>
      <c r="H280" s="22"/>
      <c r="I280" s="112"/>
      <c r="J280" s="22"/>
    </row>
    <row r="281" spans="1:11" ht="13.5" customHeight="1" x14ac:dyDescent="0.25">
      <c r="A281" s="22">
        <v>52</v>
      </c>
      <c r="B281" s="27" t="s">
        <v>209</v>
      </c>
      <c r="C281" s="29" t="s">
        <v>223</v>
      </c>
      <c r="D281" s="27"/>
      <c r="E281" s="45"/>
      <c r="F281" s="736" t="s">
        <v>217</v>
      </c>
      <c r="G281" s="45" t="s">
        <v>3</v>
      </c>
      <c r="H281" s="68">
        <v>97500000</v>
      </c>
      <c r="I281" s="112">
        <v>97230000</v>
      </c>
      <c r="J281" s="29" t="s">
        <v>202</v>
      </c>
    </row>
    <row r="282" spans="1:11" x14ac:dyDescent="0.25">
      <c r="A282" s="22"/>
      <c r="B282" s="27"/>
      <c r="C282" s="114"/>
      <c r="D282" s="27"/>
      <c r="E282" s="45"/>
      <c r="F282" s="736"/>
      <c r="G282" s="45"/>
      <c r="H282" s="68"/>
      <c r="I282" s="25"/>
      <c r="J282" s="22"/>
    </row>
    <row r="283" spans="1:11" x14ac:dyDescent="0.25">
      <c r="A283" s="22"/>
      <c r="B283" s="42"/>
      <c r="C283" s="114"/>
      <c r="D283" s="737" t="s">
        <v>160</v>
      </c>
      <c r="E283" s="49" t="s">
        <v>171</v>
      </c>
      <c r="F283" s="47"/>
      <c r="G283" s="22"/>
      <c r="H283" s="22"/>
      <c r="I283" s="25"/>
      <c r="J283" s="22"/>
    </row>
    <row r="284" spans="1:11" x14ac:dyDescent="0.25">
      <c r="A284" s="22"/>
      <c r="B284" s="42"/>
      <c r="C284" s="114"/>
      <c r="D284" s="737"/>
      <c r="E284" s="22"/>
      <c r="F284" s="25" t="s">
        <v>17</v>
      </c>
      <c r="G284" s="22"/>
      <c r="H284" s="22"/>
      <c r="I284" s="113"/>
      <c r="J284" s="22"/>
    </row>
    <row r="285" spans="1:11" x14ac:dyDescent="0.25">
      <c r="A285" s="22"/>
      <c r="B285" s="43"/>
      <c r="C285" s="114"/>
      <c r="D285" s="737"/>
      <c r="E285" s="22"/>
      <c r="F285" s="25" t="s">
        <v>17</v>
      </c>
      <c r="G285" s="22"/>
      <c r="H285" s="22"/>
      <c r="I285" s="69"/>
      <c r="J285" s="25" t="s">
        <v>17</v>
      </c>
      <c r="K285" s="1" t="s">
        <v>17</v>
      </c>
    </row>
    <row r="286" spans="1:11" x14ac:dyDescent="0.25">
      <c r="A286" s="22">
        <v>53</v>
      </c>
      <c r="B286" s="736" t="s">
        <v>153</v>
      </c>
      <c r="C286" s="29" t="s">
        <v>223</v>
      </c>
      <c r="D286" s="31"/>
      <c r="E286" s="31"/>
      <c r="F286" s="736" t="s">
        <v>152</v>
      </c>
      <c r="G286" s="739" t="s">
        <v>154</v>
      </c>
      <c r="H286" s="65">
        <v>100000000</v>
      </c>
      <c r="I286" s="65">
        <v>100000000</v>
      </c>
      <c r="J286" s="29" t="s">
        <v>202</v>
      </c>
    </row>
    <row r="287" spans="1:11" x14ac:dyDescent="0.25">
      <c r="A287" s="22"/>
      <c r="B287" s="736"/>
      <c r="C287" s="114"/>
      <c r="D287" s="31"/>
      <c r="E287" s="31"/>
      <c r="F287" s="736"/>
      <c r="G287" s="739"/>
      <c r="H287" s="25"/>
      <c r="I287" s="65"/>
      <c r="J287" s="22"/>
    </row>
    <row r="288" spans="1:11" x14ac:dyDescent="0.25">
      <c r="A288" s="22"/>
      <c r="B288" s="736"/>
      <c r="C288" s="29"/>
      <c r="D288" s="31" t="s">
        <v>17</v>
      </c>
      <c r="E288" s="31"/>
      <c r="F288" s="736"/>
      <c r="G288" s="739"/>
      <c r="H288" s="25"/>
      <c r="I288" s="22"/>
      <c r="J288" s="22"/>
    </row>
    <row r="289" spans="1:11" x14ac:dyDescent="0.25">
      <c r="A289" s="22"/>
      <c r="B289" s="27"/>
      <c r="C289" s="114"/>
      <c r="D289" s="31"/>
      <c r="E289" s="31"/>
      <c r="F289" s="736"/>
      <c r="G289" s="31"/>
      <c r="H289" s="25"/>
      <c r="I289" s="22"/>
      <c r="J289" s="22"/>
    </row>
    <row r="290" spans="1:11" x14ac:dyDescent="0.25">
      <c r="A290" s="22"/>
      <c r="B290" s="27"/>
      <c r="C290" s="114"/>
      <c r="D290" s="31"/>
      <c r="E290" s="22"/>
      <c r="F290" s="736"/>
      <c r="G290" s="22"/>
      <c r="H290" s="25"/>
      <c r="I290" s="25" t="s">
        <v>17</v>
      </c>
      <c r="J290" s="22"/>
    </row>
    <row r="291" spans="1:11" x14ac:dyDescent="0.25">
      <c r="A291" s="22"/>
      <c r="B291" s="30"/>
      <c r="C291" s="114"/>
      <c r="D291" s="25" t="s">
        <v>17</v>
      </c>
      <c r="E291" s="22"/>
      <c r="F291" s="25" t="s">
        <v>17</v>
      </c>
      <c r="G291" s="22"/>
      <c r="H291" s="25"/>
      <c r="I291" s="22"/>
      <c r="J291" s="22"/>
    </row>
    <row r="292" spans="1:11" x14ac:dyDescent="0.25">
      <c r="A292" s="22">
        <v>54</v>
      </c>
      <c r="B292" s="736" t="s">
        <v>70</v>
      </c>
      <c r="C292" s="29" t="s">
        <v>223</v>
      </c>
      <c r="D292" s="22"/>
      <c r="E292" s="41"/>
      <c r="F292" s="22"/>
      <c r="G292" s="41" t="s">
        <v>85</v>
      </c>
      <c r="H292" s="60">
        <v>179870000</v>
      </c>
      <c r="I292" s="60">
        <v>189000000</v>
      </c>
      <c r="J292" s="29" t="s">
        <v>202</v>
      </c>
    </row>
    <row r="293" spans="1:11" x14ac:dyDescent="0.25">
      <c r="A293" s="22"/>
      <c r="B293" s="736"/>
      <c r="C293" s="114"/>
      <c r="D293" s="25" t="s">
        <v>17</v>
      </c>
      <c r="E293" s="41"/>
      <c r="F293" s="22"/>
      <c r="G293" s="41" t="s">
        <v>1</v>
      </c>
      <c r="H293" s="25"/>
      <c r="I293" s="25"/>
      <c r="J293" s="22"/>
    </row>
    <row r="294" spans="1:11" x14ac:dyDescent="0.25">
      <c r="A294" s="22"/>
      <c r="B294" s="25"/>
      <c r="C294" s="29"/>
      <c r="D294" s="22"/>
      <c r="E294" s="25"/>
      <c r="F294" s="22"/>
      <c r="G294" s="25"/>
      <c r="H294" s="25"/>
      <c r="I294" s="25"/>
      <c r="J294" s="22"/>
    </row>
    <row r="295" spans="1:11" ht="15" customHeight="1" x14ac:dyDescent="0.25">
      <c r="A295" s="22">
        <v>55</v>
      </c>
      <c r="B295" s="736" t="s">
        <v>191</v>
      </c>
      <c r="C295" s="29" t="s">
        <v>225</v>
      </c>
      <c r="D295" s="31"/>
      <c r="E295" s="56"/>
      <c r="F295" s="736" t="s">
        <v>96</v>
      </c>
      <c r="G295" s="56" t="s">
        <v>192</v>
      </c>
      <c r="H295" s="70">
        <v>220000000</v>
      </c>
      <c r="I295" s="70">
        <v>220000000</v>
      </c>
      <c r="J295" s="29" t="s">
        <v>202</v>
      </c>
    </row>
    <row r="296" spans="1:11" x14ac:dyDescent="0.25">
      <c r="A296" s="22"/>
      <c r="B296" s="738"/>
      <c r="C296" s="114"/>
      <c r="D296" s="31"/>
      <c r="E296" s="22"/>
      <c r="F296" s="736"/>
      <c r="G296" s="22"/>
      <c r="H296" s="22"/>
      <c r="I296" s="25"/>
      <c r="J296" s="22"/>
    </row>
    <row r="297" spans="1:11" x14ac:dyDescent="0.25">
      <c r="A297" s="22"/>
      <c r="B297" s="22"/>
      <c r="C297" s="114"/>
      <c r="D297" s="31" t="s">
        <v>17</v>
      </c>
      <c r="E297" s="22"/>
      <c r="F297" s="736"/>
      <c r="G297" s="22"/>
      <c r="H297" s="25" t="s">
        <v>17</v>
      </c>
      <c r="I297" s="25"/>
      <c r="J297" s="22"/>
    </row>
    <row r="298" spans="1:11" x14ac:dyDescent="0.25">
      <c r="A298" s="22"/>
      <c r="B298" s="22"/>
      <c r="C298" s="29"/>
      <c r="D298" s="31"/>
      <c r="E298" s="22"/>
      <c r="F298" s="736"/>
      <c r="G298" s="22"/>
      <c r="H298" s="22"/>
      <c r="I298" s="25" t="s">
        <v>17</v>
      </c>
      <c r="J298" s="22"/>
    </row>
    <row r="299" spans="1:11" x14ac:dyDescent="0.25">
      <c r="A299" s="22"/>
      <c r="B299" s="22"/>
      <c r="C299" s="22"/>
      <c r="D299" s="31"/>
      <c r="E299" s="22"/>
      <c r="F299" s="736"/>
      <c r="G299" s="22"/>
      <c r="H299" s="22"/>
      <c r="I299" s="106"/>
      <c r="J299" s="22"/>
    </row>
    <row r="300" spans="1:11" ht="13.8" thickBot="1" x14ac:dyDescent="0.3">
      <c r="A300" s="22"/>
      <c r="B300" s="22"/>
      <c r="C300" s="22"/>
      <c r="D300" s="31"/>
      <c r="E300" s="22"/>
      <c r="F300" s="31"/>
      <c r="G300" s="22"/>
      <c r="H300" s="22"/>
      <c r="I300" s="25"/>
      <c r="J300" s="23"/>
    </row>
    <row r="301" spans="1:11" ht="13.8" thickBot="1" x14ac:dyDescent="0.3">
      <c r="A301" s="24"/>
      <c r="B301" s="722" t="s">
        <v>91</v>
      </c>
      <c r="C301" s="723"/>
      <c r="D301" s="97"/>
      <c r="E301" s="24"/>
      <c r="F301" s="24"/>
      <c r="G301" s="24"/>
      <c r="H301" s="115">
        <v>4758244800</v>
      </c>
      <c r="I301" s="116">
        <v>5095916000</v>
      </c>
      <c r="J301" s="24"/>
    </row>
    <row r="302" spans="1:11" x14ac:dyDescent="0.25">
      <c r="A302" s="71"/>
      <c r="C302" s="71"/>
      <c r="D302" s="87" t="s">
        <v>17</v>
      </c>
      <c r="E302" s="71"/>
      <c r="G302" s="71"/>
      <c r="H302" s="71"/>
      <c r="I302" s="71"/>
    </row>
    <row r="303" spans="1:11" x14ac:dyDescent="0.25">
      <c r="D303" s="87"/>
      <c r="F303" s="91"/>
      <c r="G303" s="724" t="s">
        <v>228</v>
      </c>
      <c r="H303" s="724"/>
      <c r="I303" s="724"/>
      <c r="J303" s="91" t="s">
        <v>17</v>
      </c>
      <c r="K303" s="85" t="s">
        <v>17</v>
      </c>
    </row>
    <row r="304" spans="1:11" x14ac:dyDescent="0.25">
      <c r="D304" s="1" t="s">
        <v>17</v>
      </c>
      <c r="F304" s="92"/>
      <c r="G304" s="93"/>
      <c r="H304" s="93"/>
      <c r="I304" s="93"/>
      <c r="J304" s="93"/>
      <c r="K304" s="94"/>
    </row>
    <row r="305" spans="6:11" x14ac:dyDescent="0.25">
      <c r="F305" s="725" t="s">
        <v>196</v>
      </c>
      <c r="G305" s="725"/>
      <c r="H305" s="725"/>
      <c r="I305" s="725"/>
      <c r="J305" s="725"/>
      <c r="K305" s="725"/>
    </row>
    <row r="306" spans="6:11" x14ac:dyDescent="0.25">
      <c r="F306" s="725" t="s">
        <v>193</v>
      </c>
      <c r="G306" s="725"/>
      <c r="H306" s="725"/>
      <c r="I306" s="725"/>
      <c r="J306" s="725"/>
      <c r="K306" s="725"/>
    </row>
    <row r="307" spans="6:11" x14ac:dyDescent="0.25">
      <c r="F307" s="725" t="s">
        <v>4</v>
      </c>
      <c r="G307" s="725"/>
      <c r="H307" s="725"/>
      <c r="I307" s="725"/>
      <c r="J307" s="725"/>
      <c r="K307" s="725"/>
    </row>
    <row r="308" spans="6:11" x14ac:dyDescent="0.25">
      <c r="F308" s="93"/>
      <c r="G308" s="725"/>
      <c r="H308" s="725"/>
      <c r="I308" s="725"/>
      <c r="J308" s="93"/>
      <c r="K308" s="85"/>
    </row>
    <row r="309" spans="6:11" x14ac:dyDescent="0.25">
      <c r="F309" s="93"/>
      <c r="G309" s="93"/>
      <c r="H309" s="93"/>
      <c r="I309" s="93"/>
      <c r="J309" s="93"/>
      <c r="K309" s="85"/>
    </row>
    <row r="310" spans="6:11" x14ac:dyDescent="0.25">
      <c r="F310" s="95"/>
      <c r="G310" s="95"/>
      <c r="H310" s="95"/>
      <c r="I310" s="95"/>
      <c r="J310" s="95"/>
      <c r="K310" s="96"/>
    </row>
    <row r="311" spans="6:11" x14ac:dyDescent="0.25">
      <c r="F311" s="93"/>
      <c r="G311" s="93"/>
      <c r="H311" s="93"/>
      <c r="I311" s="93"/>
      <c r="J311" s="93"/>
      <c r="K311" s="85"/>
    </row>
    <row r="312" spans="6:11" x14ac:dyDescent="0.25">
      <c r="F312" s="726" t="s">
        <v>194</v>
      </c>
      <c r="G312" s="726"/>
      <c r="H312" s="726"/>
      <c r="I312" s="726"/>
      <c r="J312" s="726"/>
      <c r="K312" s="726"/>
    </row>
    <row r="313" spans="6:11" x14ac:dyDescent="0.25">
      <c r="F313" s="725" t="s">
        <v>195</v>
      </c>
      <c r="G313" s="725"/>
      <c r="H313" s="725"/>
      <c r="I313" s="725"/>
      <c r="J313" s="725"/>
      <c r="K313" s="725"/>
    </row>
  </sheetData>
  <mergeCells count="203">
    <mergeCell ref="A2:J2"/>
    <mergeCell ref="A3:J3"/>
    <mergeCell ref="A4:J4"/>
    <mergeCell ref="B242:B243"/>
    <mergeCell ref="F242:F243"/>
    <mergeCell ref="B260:B261"/>
    <mergeCell ref="A6:A8"/>
    <mergeCell ref="B6:B8"/>
    <mergeCell ref="A51:J51"/>
    <mergeCell ref="A103:J103"/>
    <mergeCell ref="D6:G6"/>
    <mergeCell ref="H6:H7"/>
    <mergeCell ref="C7:C8"/>
    <mergeCell ref="D7:E7"/>
    <mergeCell ref="F7:G7"/>
    <mergeCell ref="B11:B12"/>
    <mergeCell ref="D11:D12"/>
    <mergeCell ref="F13:F14"/>
    <mergeCell ref="B16:B17"/>
    <mergeCell ref="F16:F17"/>
    <mergeCell ref="F22:F23"/>
    <mergeCell ref="B19:B20"/>
    <mergeCell ref="F19:F20"/>
    <mergeCell ref="A52:A54"/>
    <mergeCell ref="D52:G52"/>
    <mergeCell ref="B27:B28"/>
    <mergeCell ref="F27:F28"/>
    <mergeCell ref="B30:B31"/>
    <mergeCell ref="F30:F31"/>
    <mergeCell ref="B33:B34"/>
    <mergeCell ref="F33:F34"/>
    <mergeCell ref="H52:H53"/>
    <mergeCell ref="B53:B54"/>
    <mergeCell ref="C53:C54"/>
    <mergeCell ref="D53:E53"/>
    <mergeCell ref="F53:G53"/>
    <mergeCell ref="B36:B37"/>
    <mergeCell ref="B39:B40"/>
    <mergeCell ref="F39:F40"/>
    <mergeCell ref="B56:B57"/>
    <mergeCell ref="D56:D58"/>
    <mergeCell ref="B59:B60"/>
    <mergeCell ref="F59:F61"/>
    <mergeCell ref="B63:B64"/>
    <mergeCell ref="F63:F64"/>
    <mergeCell ref="F68:F69"/>
    <mergeCell ref="G68:G69"/>
    <mergeCell ref="B75:B76"/>
    <mergeCell ref="F75:F76"/>
    <mergeCell ref="B78:B79"/>
    <mergeCell ref="E78:E79"/>
    <mergeCell ref="F78:F79"/>
    <mergeCell ref="G78:G79"/>
    <mergeCell ref="A104:A106"/>
    <mergeCell ref="D104:G104"/>
    <mergeCell ref="B81:B82"/>
    <mergeCell ref="F81:F82"/>
    <mergeCell ref="B84:B86"/>
    <mergeCell ref="F84:F86"/>
    <mergeCell ref="B88:B90"/>
    <mergeCell ref="F88:F90"/>
    <mergeCell ref="H104:H105"/>
    <mergeCell ref="B105:B106"/>
    <mergeCell ref="C105:C106"/>
    <mergeCell ref="D105:E105"/>
    <mergeCell ref="F105:G105"/>
    <mergeCell ref="B92:B93"/>
    <mergeCell ref="D92:D93"/>
    <mergeCell ref="B95:B96"/>
    <mergeCell ref="F95:F96"/>
    <mergeCell ref="B108:B110"/>
    <mergeCell ref="D108:D110"/>
    <mergeCell ref="B112:B114"/>
    <mergeCell ref="D112:D114"/>
    <mergeCell ref="E112:E114"/>
    <mergeCell ref="F112:F114"/>
    <mergeCell ref="G112:G113"/>
    <mergeCell ref="B116:B117"/>
    <mergeCell ref="D116:D117"/>
    <mergeCell ref="B124:B126"/>
    <mergeCell ref="D124:D125"/>
    <mergeCell ref="B121:B122"/>
    <mergeCell ref="B128:B129"/>
    <mergeCell ref="D128:D129"/>
    <mergeCell ref="F128:F129"/>
    <mergeCell ref="B131:B132"/>
    <mergeCell ref="F131:F132"/>
    <mergeCell ref="B134:B135"/>
    <mergeCell ref="D134:D135"/>
    <mergeCell ref="F134:F135"/>
    <mergeCell ref="A159:A161"/>
    <mergeCell ref="D159:G159"/>
    <mergeCell ref="B137:B139"/>
    <mergeCell ref="F137:F139"/>
    <mergeCell ref="B141:B143"/>
    <mergeCell ref="F141:F143"/>
    <mergeCell ref="B145:B147"/>
    <mergeCell ref="F145:F147"/>
    <mergeCell ref="A158:J158"/>
    <mergeCell ref="H159:H160"/>
    <mergeCell ref="B160:B161"/>
    <mergeCell ref="C160:C161"/>
    <mergeCell ref="D160:E160"/>
    <mergeCell ref="F160:G160"/>
    <mergeCell ref="B149:B150"/>
    <mergeCell ref="B152:B154"/>
    <mergeCell ref="D152:D153"/>
    <mergeCell ref="F152:F153"/>
    <mergeCell ref="B163:B164"/>
    <mergeCell ref="B166:B167"/>
    <mergeCell ref="F166:F167"/>
    <mergeCell ref="B169:B172"/>
    <mergeCell ref="E169:E170"/>
    <mergeCell ref="F169:F170"/>
    <mergeCell ref="G169:G170"/>
    <mergeCell ref="B174:B175"/>
    <mergeCell ref="D174:D175"/>
    <mergeCell ref="F174:F175"/>
    <mergeCell ref="B177:B178"/>
    <mergeCell ref="F177:F178"/>
    <mergeCell ref="D180:D181"/>
    <mergeCell ref="F180:F181"/>
    <mergeCell ref="B183:B184"/>
    <mergeCell ref="F183:F185"/>
    <mergeCell ref="F187:F188"/>
    <mergeCell ref="B188:B189"/>
    <mergeCell ref="B191:B192"/>
    <mergeCell ref="F191:F193"/>
    <mergeCell ref="F195:F197"/>
    <mergeCell ref="B199:B200"/>
    <mergeCell ref="F199:F201"/>
    <mergeCell ref="A215:A217"/>
    <mergeCell ref="D215:G215"/>
    <mergeCell ref="A214:J214"/>
    <mergeCell ref="B216:B217"/>
    <mergeCell ref="F224:F225"/>
    <mergeCell ref="B228:B230"/>
    <mergeCell ref="F228:F229"/>
    <mergeCell ref="C216:C217"/>
    <mergeCell ref="D216:E216"/>
    <mergeCell ref="F216:G216"/>
    <mergeCell ref="B219:C219"/>
    <mergeCell ref="B220:B222"/>
    <mergeCell ref="D220:D221"/>
    <mergeCell ref="B224:B226"/>
    <mergeCell ref="B232:B233"/>
    <mergeCell ref="F232:F236"/>
    <mergeCell ref="G234:G235"/>
    <mergeCell ref="B238:B239"/>
    <mergeCell ref="F238:F240"/>
    <mergeCell ref="G238:G239"/>
    <mergeCell ref="B245:B246"/>
    <mergeCell ref="D245:D246"/>
    <mergeCell ref="F245:F246"/>
    <mergeCell ref="G245:G246"/>
    <mergeCell ref="A269:J269"/>
    <mergeCell ref="B274:B276"/>
    <mergeCell ref="E274:E276"/>
    <mergeCell ref="F274:F276"/>
    <mergeCell ref="G274:G275"/>
    <mergeCell ref="B248:B249"/>
    <mergeCell ref="F248:F250"/>
    <mergeCell ref="B252:B253"/>
    <mergeCell ref="F252:F254"/>
    <mergeCell ref="B256:B257"/>
    <mergeCell ref="D256:D257"/>
    <mergeCell ref="F256:F257"/>
    <mergeCell ref="G256:G258"/>
    <mergeCell ref="E260:E261"/>
    <mergeCell ref="G260:G261"/>
    <mergeCell ref="B295:B296"/>
    <mergeCell ref="F295:F299"/>
    <mergeCell ref="A270:A272"/>
    <mergeCell ref="D270:G270"/>
    <mergeCell ref="H270:H271"/>
    <mergeCell ref="B271:B272"/>
    <mergeCell ref="C271:C272"/>
    <mergeCell ref="D271:E271"/>
    <mergeCell ref="F271:G271"/>
    <mergeCell ref="B301:C301"/>
    <mergeCell ref="G303:I303"/>
    <mergeCell ref="F305:K305"/>
    <mergeCell ref="F306:K306"/>
    <mergeCell ref="F307:K307"/>
    <mergeCell ref="G308:I308"/>
    <mergeCell ref="F312:K312"/>
    <mergeCell ref="F313:K313"/>
    <mergeCell ref="J6:J8"/>
    <mergeCell ref="I6:I7"/>
    <mergeCell ref="I52:I53"/>
    <mergeCell ref="I104:I105"/>
    <mergeCell ref="I159:I160"/>
    <mergeCell ref="I215:I216"/>
    <mergeCell ref="I270:I271"/>
    <mergeCell ref="H215:H216"/>
    <mergeCell ref="F281:F282"/>
    <mergeCell ref="D283:D285"/>
    <mergeCell ref="G278:G279"/>
    <mergeCell ref="F278:F279"/>
    <mergeCell ref="B286:B288"/>
    <mergeCell ref="F286:F290"/>
    <mergeCell ref="G286:G288"/>
    <mergeCell ref="B292:B29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K351"/>
  <sheetViews>
    <sheetView tabSelected="1" view="pageBreakPreview" topLeftCell="D1" zoomScaleNormal="70" zoomScaleSheetLayoutView="100" workbookViewId="0">
      <pane ySplit="11" topLeftCell="A341" activePane="bottomLeft" state="frozen"/>
      <selection pane="bottomLeft" activeCell="Q341" sqref="Q341"/>
    </sheetView>
  </sheetViews>
  <sheetFormatPr defaultColWidth="9.109375" defaultRowHeight="13.8" x14ac:dyDescent="0.25"/>
  <cols>
    <col min="1" max="1" width="4.109375" style="130" bestFit="1" customWidth="1"/>
    <col min="2" max="2" width="16.44140625" style="130" customWidth="1"/>
    <col min="3" max="3" width="24.109375" style="130" customWidth="1"/>
    <col min="4" max="4" width="22.6640625" style="476" customWidth="1"/>
    <col min="5" max="5" width="10.109375" style="130" customWidth="1"/>
    <col min="6" max="6" width="10.5546875" style="130" customWidth="1"/>
    <col min="7" max="7" width="14" style="130" customWidth="1"/>
    <col min="8" max="8" width="10.5546875" style="130" customWidth="1"/>
    <col min="9" max="9" width="13.33203125" style="130" customWidth="1"/>
    <col min="10" max="10" width="10.44140625" style="130" customWidth="1"/>
    <col min="11" max="11" width="13" style="130" customWidth="1"/>
    <col min="12" max="12" width="10.44140625" style="130" customWidth="1"/>
    <col min="13" max="13" width="13.44140625" style="130" bestFit="1" customWidth="1"/>
    <col min="14" max="14" width="11.33203125" style="130" customWidth="1"/>
    <col min="15" max="15" width="13.44140625" style="130" customWidth="1"/>
    <col min="16" max="16" width="9" style="169" customWidth="1"/>
    <col min="17" max="17" width="13.6640625" style="130" customWidth="1"/>
    <col min="18" max="18" width="9.44140625" style="169" customWidth="1"/>
    <col min="19" max="19" width="13.109375" style="130" customWidth="1"/>
    <col min="20" max="20" width="10.44140625" style="169" customWidth="1"/>
    <col min="21" max="21" width="13.109375" style="130" customWidth="1"/>
    <col min="22" max="22" width="11.109375" style="169" bestFit="1" customWidth="1"/>
    <col min="23" max="23" width="14" style="130" customWidth="1"/>
    <col min="24" max="24" width="13.44140625" style="130" bestFit="1" customWidth="1"/>
    <col min="25" max="25" width="13.109375" style="186" customWidth="1"/>
    <col min="26" max="26" width="13.109375" style="130" customWidth="1"/>
    <col min="27" max="27" width="15.33203125" style="130" customWidth="1"/>
    <col min="28" max="28" width="17.109375" style="123" customWidth="1"/>
    <col min="29" max="30" width="9.109375" style="130"/>
    <col min="31" max="31" width="9.5546875" style="130" bestFit="1" customWidth="1"/>
    <col min="32" max="35" width="9.109375" style="130"/>
    <col min="36" max="36" width="12.88671875" style="130" bestFit="1" customWidth="1"/>
    <col min="37" max="37" width="12" style="130" bestFit="1" customWidth="1"/>
    <col min="38" max="16384" width="9.109375" style="130"/>
  </cols>
  <sheetData>
    <row r="1" spans="1:36" x14ac:dyDescent="0.25">
      <c r="A1" s="774" t="s">
        <v>240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  <c r="R1" s="774"/>
      <c r="S1" s="774"/>
      <c r="T1" s="774"/>
      <c r="U1" s="774"/>
      <c r="V1" s="774"/>
      <c r="W1" s="774"/>
      <c r="X1" s="774"/>
      <c r="Y1" s="774"/>
      <c r="Z1" s="774"/>
    </row>
    <row r="2" spans="1:36" x14ac:dyDescent="0.25">
      <c r="A2" s="774" t="s">
        <v>241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</row>
    <row r="3" spans="1:36" x14ac:dyDescent="0.25">
      <c r="A3" s="774" t="s">
        <v>245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4"/>
      <c r="P3" s="774"/>
      <c r="Q3" s="774"/>
      <c r="R3" s="774"/>
      <c r="S3" s="774"/>
      <c r="T3" s="774"/>
      <c r="U3" s="774"/>
      <c r="V3" s="774"/>
      <c r="W3" s="774"/>
      <c r="X3" s="774"/>
      <c r="Y3" s="774"/>
      <c r="Z3" s="774"/>
    </row>
    <row r="4" spans="1:36" x14ac:dyDescent="0.25">
      <c r="A4" s="774" t="s">
        <v>4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4"/>
      <c r="O4" s="774"/>
      <c r="P4" s="774"/>
      <c r="Q4" s="774"/>
      <c r="R4" s="774"/>
      <c r="S4" s="774"/>
      <c r="T4" s="774"/>
      <c r="U4" s="774"/>
      <c r="V4" s="774"/>
      <c r="W4" s="774"/>
      <c r="X4" s="774"/>
      <c r="Y4" s="774"/>
      <c r="Z4" s="774"/>
      <c r="AA4" s="131"/>
    </row>
    <row r="5" spans="1:36" x14ac:dyDescent="0.25">
      <c r="A5" s="774" t="s">
        <v>546</v>
      </c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  <c r="V5" s="774"/>
      <c r="W5" s="774"/>
      <c r="X5" s="774"/>
      <c r="Y5" s="774"/>
      <c r="Z5" s="774"/>
      <c r="AA5" s="131"/>
    </row>
    <row r="6" spans="1:36" x14ac:dyDescent="0.25">
      <c r="A6" s="475"/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131"/>
    </row>
    <row r="7" spans="1:36" ht="14.4" thickBot="1" x14ac:dyDescent="0.3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64"/>
      <c r="Q7" s="132"/>
      <c r="R7" s="164"/>
      <c r="S7" s="132"/>
      <c r="T7" s="164"/>
      <c r="U7" s="132"/>
      <c r="V7" s="164"/>
      <c r="W7" s="132"/>
      <c r="X7" s="132"/>
      <c r="Y7" s="184"/>
      <c r="Z7" s="132"/>
    </row>
    <row r="8" spans="1:36" s="133" customFormat="1" x14ac:dyDescent="0.25">
      <c r="A8" s="775" t="s">
        <v>197</v>
      </c>
      <c r="B8" s="775" t="s">
        <v>246</v>
      </c>
      <c r="C8" s="775" t="s">
        <v>250</v>
      </c>
      <c r="D8" s="775" t="s">
        <v>251</v>
      </c>
      <c r="E8" s="765" t="s">
        <v>350</v>
      </c>
      <c r="F8" s="779"/>
      <c r="G8" s="766"/>
      <c r="H8" s="765" t="s">
        <v>372</v>
      </c>
      <c r="I8" s="766"/>
      <c r="J8" s="765" t="s">
        <v>368</v>
      </c>
      <c r="K8" s="766"/>
      <c r="L8" s="771" t="s">
        <v>383</v>
      </c>
      <c r="M8" s="772"/>
      <c r="N8" s="772"/>
      <c r="O8" s="772"/>
      <c r="P8" s="772"/>
      <c r="Q8" s="772"/>
      <c r="R8" s="772"/>
      <c r="S8" s="773"/>
      <c r="T8" s="765" t="s">
        <v>370</v>
      </c>
      <c r="U8" s="766"/>
      <c r="V8" s="765" t="s">
        <v>374</v>
      </c>
      <c r="W8" s="766"/>
      <c r="X8" s="765" t="s">
        <v>547</v>
      </c>
      <c r="Y8" s="766"/>
      <c r="Z8" s="782" t="s">
        <v>252</v>
      </c>
      <c r="AB8" s="124"/>
    </row>
    <row r="9" spans="1:36" s="133" customFormat="1" x14ac:dyDescent="0.25">
      <c r="A9" s="776"/>
      <c r="B9" s="776"/>
      <c r="C9" s="776"/>
      <c r="D9" s="776"/>
      <c r="E9" s="767"/>
      <c r="F9" s="780"/>
      <c r="G9" s="768"/>
      <c r="H9" s="767"/>
      <c r="I9" s="768"/>
      <c r="J9" s="767"/>
      <c r="K9" s="768"/>
      <c r="L9" s="785" t="s">
        <v>353</v>
      </c>
      <c r="M9" s="786"/>
      <c r="N9" s="789" t="s">
        <v>354</v>
      </c>
      <c r="O9" s="790"/>
      <c r="P9" s="789" t="s">
        <v>355</v>
      </c>
      <c r="Q9" s="790"/>
      <c r="R9" s="789" t="s">
        <v>356</v>
      </c>
      <c r="S9" s="790"/>
      <c r="T9" s="767"/>
      <c r="U9" s="768"/>
      <c r="V9" s="767"/>
      <c r="W9" s="768"/>
      <c r="X9" s="767"/>
      <c r="Y9" s="768"/>
      <c r="Z9" s="783"/>
      <c r="AB9" s="124"/>
    </row>
    <row r="10" spans="1:36" s="133" customFormat="1" ht="33.75" customHeight="1" x14ac:dyDescent="0.25">
      <c r="A10" s="776"/>
      <c r="B10" s="776"/>
      <c r="C10" s="776"/>
      <c r="D10" s="776"/>
      <c r="E10" s="769"/>
      <c r="F10" s="781"/>
      <c r="G10" s="770"/>
      <c r="H10" s="769"/>
      <c r="I10" s="770"/>
      <c r="J10" s="769"/>
      <c r="K10" s="770"/>
      <c r="L10" s="787"/>
      <c r="M10" s="788"/>
      <c r="N10" s="791"/>
      <c r="O10" s="792"/>
      <c r="P10" s="791"/>
      <c r="Q10" s="792"/>
      <c r="R10" s="791"/>
      <c r="S10" s="792"/>
      <c r="T10" s="769"/>
      <c r="U10" s="770"/>
      <c r="V10" s="769"/>
      <c r="W10" s="770"/>
      <c r="X10" s="769"/>
      <c r="Y10" s="770"/>
      <c r="Z10" s="783"/>
      <c r="AA10" s="134"/>
      <c r="AB10" s="124"/>
    </row>
    <row r="11" spans="1:36" s="173" customFormat="1" ht="21.75" customHeight="1" thickBot="1" x14ac:dyDescent="0.3">
      <c r="A11" s="777"/>
      <c r="B11" s="778"/>
      <c r="C11" s="778"/>
      <c r="D11" s="778"/>
      <c r="E11" s="161" t="s">
        <v>234</v>
      </c>
      <c r="F11" s="161" t="s">
        <v>235</v>
      </c>
      <c r="G11" s="161" t="s">
        <v>351</v>
      </c>
      <c r="H11" s="161" t="s">
        <v>234</v>
      </c>
      <c r="I11" s="161" t="s">
        <v>352</v>
      </c>
      <c r="J11" s="161" t="s">
        <v>234</v>
      </c>
      <c r="K11" s="161" t="s">
        <v>352</v>
      </c>
      <c r="L11" s="161" t="s">
        <v>234</v>
      </c>
      <c r="M11" s="619" t="s">
        <v>242</v>
      </c>
      <c r="N11" s="161" t="s">
        <v>234</v>
      </c>
      <c r="O11" s="619" t="s">
        <v>242</v>
      </c>
      <c r="P11" s="161" t="s">
        <v>234</v>
      </c>
      <c r="Q11" s="619" t="s">
        <v>242</v>
      </c>
      <c r="R11" s="161" t="s">
        <v>234</v>
      </c>
      <c r="S11" s="619" t="s">
        <v>242</v>
      </c>
      <c r="T11" s="619" t="s">
        <v>74</v>
      </c>
      <c r="U11" s="619" t="s">
        <v>242</v>
      </c>
      <c r="V11" s="619" t="s">
        <v>74</v>
      </c>
      <c r="W11" s="619" t="s">
        <v>242</v>
      </c>
      <c r="X11" s="619" t="s">
        <v>74</v>
      </c>
      <c r="Y11" s="241" t="s">
        <v>242</v>
      </c>
      <c r="Z11" s="784"/>
      <c r="AB11" s="174"/>
    </row>
    <row r="12" spans="1:36" s="133" customFormat="1" x14ac:dyDescent="0.3">
      <c r="A12" s="162">
        <v>1</v>
      </c>
      <c r="B12" s="162">
        <v>2</v>
      </c>
      <c r="C12" s="163">
        <v>3</v>
      </c>
      <c r="D12" s="163">
        <v>4</v>
      </c>
      <c r="E12" s="809">
        <v>5</v>
      </c>
      <c r="F12" s="810"/>
      <c r="G12" s="811"/>
      <c r="H12" s="809">
        <v>6</v>
      </c>
      <c r="I12" s="811"/>
      <c r="J12" s="809">
        <v>7</v>
      </c>
      <c r="K12" s="811"/>
      <c r="L12" s="803">
        <v>8</v>
      </c>
      <c r="M12" s="804"/>
      <c r="N12" s="803">
        <v>9</v>
      </c>
      <c r="O12" s="804"/>
      <c r="P12" s="803">
        <v>10</v>
      </c>
      <c r="Q12" s="804"/>
      <c r="R12" s="803">
        <v>11</v>
      </c>
      <c r="S12" s="804"/>
      <c r="T12" s="803">
        <v>12</v>
      </c>
      <c r="U12" s="804"/>
      <c r="V12" s="805" t="s">
        <v>243</v>
      </c>
      <c r="W12" s="806"/>
      <c r="X12" s="805" t="s">
        <v>244</v>
      </c>
      <c r="Y12" s="806"/>
      <c r="Z12" s="618">
        <v>15</v>
      </c>
      <c r="AB12" s="124"/>
    </row>
    <row r="13" spans="1:36" s="133" customFormat="1" ht="58.5" customHeight="1" x14ac:dyDescent="0.25">
      <c r="A13" s="176">
        <v>1</v>
      </c>
      <c r="B13" s="196" t="s">
        <v>253</v>
      </c>
      <c r="C13" s="653" t="s">
        <v>254</v>
      </c>
      <c r="D13" s="653" t="s">
        <v>255</v>
      </c>
      <c r="E13" s="175">
        <v>1</v>
      </c>
      <c r="F13" s="175" t="s">
        <v>237</v>
      </c>
      <c r="G13" s="160">
        <f>G14+G22+G36+G40+G48+G58+G66+G80</f>
        <v>38849066650</v>
      </c>
      <c r="H13" s="148">
        <v>1</v>
      </c>
      <c r="I13" s="160">
        <f>I14+I22+I36+I40+I48+I58+I66+I80</f>
        <v>1166022071</v>
      </c>
      <c r="J13" s="148">
        <v>1</v>
      </c>
      <c r="K13" s="160">
        <f>K14+K22+K36+K40+K48+K58+K66+K80</f>
        <v>7829910465</v>
      </c>
      <c r="L13" s="148">
        <v>0.25</v>
      </c>
      <c r="M13" s="160">
        <f>M14+M22+M36+M40+M48+M58+M66+M80</f>
        <v>1265315072</v>
      </c>
      <c r="N13" s="148">
        <v>0.25</v>
      </c>
      <c r="O13" s="160">
        <f>O14+O22+O36+O40+O48+O58+O66+O80</f>
        <v>514015605</v>
      </c>
      <c r="P13" s="209">
        <v>0.25</v>
      </c>
      <c r="Q13" s="160">
        <f>Q14+Q22+Q36+Q40+Q48+Q58+Q66+Q80</f>
        <v>3170859970</v>
      </c>
      <c r="R13" s="165">
        <v>0.25</v>
      </c>
      <c r="S13" s="160">
        <f>S14+S22+S36+S40+S48+S58+S66+S80</f>
        <v>2554539562</v>
      </c>
      <c r="T13" s="165">
        <f>R13+P13+N13+L13</f>
        <v>1</v>
      </c>
      <c r="U13" s="191">
        <f>M13+O13+Q13+S13</f>
        <v>7504730209</v>
      </c>
      <c r="V13" s="165">
        <f>H13+T13</f>
        <v>2</v>
      </c>
      <c r="W13" s="160">
        <f>SUM(I13+U13)</f>
        <v>8670752280</v>
      </c>
      <c r="X13" s="178">
        <f>V13/E13*100</f>
        <v>200</v>
      </c>
      <c r="Y13" s="278">
        <f>W13/G13*100</f>
        <v>22.31907489082495</v>
      </c>
      <c r="Z13" s="654" t="s">
        <v>371</v>
      </c>
      <c r="AA13" s="124"/>
    </row>
    <row r="14" spans="1:36" s="133" customFormat="1" ht="17.25" customHeight="1" x14ac:dyDescent="0.25">
      <c r="A14" s="261"/>
      <c r="B14" s="261"/>
      <c r="C14" s="807" t="s">
        <v>260</v>
      </c>
      <c r="D14" s="807" t="s">
        <v>261</v>
      </c>
      <c r="E14" s="711">
        <v>7</v>
      </c>
      <c r="F14" s="480"/>
      <c r="G14" s="481">
        <f>SUM(G16:G21)</f>
        <v>25441248208</v>
      </c>
      <c r="H14" s="482">
        <v>1</v>
      </c>
      <c r="I14" s="481">
        <f>SUM(I16:I21)</f>
        <v>192580000</v>
      </c>
      <c r="J14" s="493">
        <v>1</v>
      </c>
      <c r="K14" s="481">
        <f>SUM(K16:K21)</f>
        <v>4551727215</v>
      </c>
      <c r="L14" s="646">
        <v>0</v>
      </c>
      <c r="M14" s="481">
        <f>SUM(M16:M21)</f>
        <v>731667193</v>
      </c>
      <c r="N14" s="646">
        <v>0</v>
      </c>
      <c r="O14" s="481">
        <f>SUM(O16:O21)</f>
        <v>383018094</v>
      </c>
      <c r="P14" s="712">
        <v>0</v>
      </c>
      <c r="Q14" s="481">
        <f>SUM(Q16:Q20)</f>
        <v>2046633767</v>
      </c>
      <c r="R14" s="481">
        <v>1</v>
      </c>
      <c r="S14" s="481">
        <f>SUM(S16:S21)</f>
        <v>1142054525</v>
      </c>
      <c r="T14" s="481">
        <f>R14+P14+N14+L14</f>
        <v>1</v>
      </c>
      <c r="U14" s="481">
        <f>S14+Q14+O14+M14</f>
        <v>4303373579</v>
      </c>
      <c r="V14" s="481">
        <f>H14+T14</f>
        <v>2</v>
      </c>
      <c r="W14" s="646">
        <f>SUM(I14+U14)</f>
        <v>4495953579</v>
      </c>
      <c r="X14" s="484">
        <f>V14/E14*100</f>
        <v>28.571428571428569</v>
      </c>
      <c r="Y14" s="485">
        <f>W14/G14*100</f>
        <v>17.671906434159339</v>
      </c>
      <c r="Z14" s="793" t="s">
        <v>256</v>
      </c>
      <c r="AA14" s="125"/>
    </row>
    <row r="15" spans="1:36" s="133" customFormat="1" ht="20.25" customHeight="1" x14ac:dyDescent="0.25">
      <c r="A15" s="261"/>
      <c r="B15" s="261"/>
      <c r="C15" s="808"/>
      <c r="D15" s="808"/>
      <c r="E15" s="486"/>
      <c r="F15" s="628" t="s">
        <v>259</v>
      </c>
      <c r="G15" s="487"/>
      <c r="H15" s="488"/>
      <c r="I15" s="487"/>
      <c r="J15" s="625" t="s">
        <v>259</v>
      </c>
      <c r="K15" s="487"/>
      <c r="L15" s="625" t="s">
        <v>259</v>
      </c>
      <c r="M15" s="487"/>
      <c r="N15" s="625" t="s">
        <v>259</v>
      </c>
      <c r="O15" s="487"/>
      <c r="P15" s="713" t="s">
        <v>259</v>
      </c>
      <c r="Q15" s="487"/>
      <c r="R15" s="487" t="s">
        <v>259</v>
      </c>
      <c r="S15" s="487"/>
      <c r="T15" s="489"/>
      <c r="U15" s="487"/>
      <c r="V15" s="490"/>
      <c r="W15" s="643"/>
      <c r="X15" s="491"/>
      <c r="Y15" s="492"/>
      <c r="Z15" s="793"/>
      <c r="AA15" s="125"/>
    </row>
    <row r="16" spans="1:36" s="259" customFormat="1" x14ac:dyDescent="0.25">
      <c r="A16" s="258"/>
      <c r="B16" s="258"/>
      <c r="C16" s="794" t="s">
        <v>406</v>
      </c>
      <c r="D16" s="794" t="s">
        <v>405</v>
      </c>
      <c r="E16" s="796">
        <v>105</v>
      </c>
      <c r="F16" s="798" t="s">
        <v>258</v>
      </c>
      <c r="G16" s="288">
        <v>1082470000</v>
      </c>
      <c r="H16" s="640">
        <v>15</v>
      </c>
      <c r="I16" s="800">
        <v>192580000</v>
      </c>
      <c r="J16" s="640">
        <v>15</v>
      </c>
      <c r="K16" s="800">
        <v>214800000</v>
      </c>
      <c r="L16" s="640">
        <v>4</v>
      </c>
      <c r="M16" s="288">
        <v>53430000</v>
      </c>
      <c r="N16" s="640">
        <v>3</v>
      </c>
      <c r="O16" s="288">
        <f>89290000-M16</f>
        <v>35860000</v>
      </c>
      <c r="P16" s="222">
        <v>5</v>
      </c>
      <c r="Q16" s="288">
        <f>161010000-O16-M16</f>
        <v>71720000</v>
      </c>
      <c r="R16" s="215">
        <v>3</v>
      </c>
      <c r="S16" s="288">
        <f>213440000-Q16-O16-M16</f>
        <v>52430000</v>
      </c>
      <c r="T16" s="459">
        <f>R16+P16+N16+L16</f>
        <v>15</v>
      </c>
      <c r="U16" s="288">
        <f>M16+O16+Q16+S16</f>
        <v>213440000</v>
      </c>
      <c r="V16" s="663">
        <f t="shared" ref="V16:V20" si="0">H16+T16</f>
        <v>30</v>
      </c>
      <c r="W16" s="638">
        <f>SUM(I16+U16)</f>
        <v>406020000</v>
      </c>
      <c r="X16" s="289">
        <f>V16/E16*100</f>
        <v>28.571428571428569</v>
      </c>
      <c r="Y16" s="290">
        <f>W16/G16*100</f>
        <v>37.508660748103871</v>
      </c>
      <c r="Z16" s="802" t="s">
        <v>257</v>
      </c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</row>
    <row r="17" spans="1:36" s="259" customFormat="1" ht="18" customHeight="1" x14ac:dyDescent="0.25">
      <c r="A17" s="258"/>
      <c r="B17" s="258"/>
      <c r="C17" s="795"/>
      <c r="D17" s="795"/>
      <c r="E17" s="797"/>
      <c r="F17" s="799"/>
      <c r="G17" s="206"/>
      <c r="H17" s="649" t="s">
        <v>156</v>
      </c>
      <c r="I17" s="801"/>
      <c r="J17" s="649" t="s">
        <v>156</v>
      </c>
      <c r="K17" s="801"/>
      <c r="L17" s="649" t="s">
        <v>156</v>
      </c>
      <c r="M17" s="292"/>
      <c r="N17" s="649" t="s">
        <v>156</v>
      </c>
      <c r="O17" s="292"/>
      <c r="P17" s="649" t="s">
        <v>156</v>
      </c>
      <c r="Q17" s="206"/>
      <c r="R17" s="649" t="s">
        <v>156</v>
      </c>
      <c r="S17" s="292"/>
      <c r="T17" s="461" t="s">
        <v>156</v>
      </c>
      <c r="U17" s="293"/>
      <c r="V17" s="230"/>
      <c r="W17" s="639"/>
      <c r="X17" s="294"/>
      <c r="Y17" s="295"/>
      <c r="Z17" s="802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</row>
    <row r="18" spans="1:36" s="259" customFormat="1" ht="12.75" customHeight="1" x14ac:dyDescent="0.3">
      <c r="A18" s="258"/>
      <c r="B18" s="258"/>
      <c r="C18" s="818" t="s">
        <v>424</v>
      </c>
      <c r="D18" s="818" t="s">
        <v>425</v>
      </c>
      <c r="E18" s="650">
        <v>31</v>
      </c>
      <c r="F18" s="296"/>
      <c r="G18" s="297">
        <v>24229778208</v>
      </c>
      <c r="H18" s="671"/>
      <c r="I18" s="317"/>
      <c r="J18" s="714">
        <v>31</v>
      </c>
      <c r="K18" s="317">
        <v>4336927215</v>
      </c>
      <c r="L18" s="671">
        <v>31</v>
      </c>
      <c r="M18" s="293">
        <v>678237193</v>
      </c>
      <c r="N18" s="671">
        <v>31</v>
      </c>
      <c r="O18" s="293">
        <f>1025395287-M18</f>
        <v>347158094</v>
      </c>
      <c r="P18" s="671">
        <v>31</v>
      </c>
      <c r="Q18" s="297">
        <f>3000309054-O18-M18</f>
        <v>1974913767</v>
      </c>
      <c r="R18" s="298">
        <v>31</v>
      </c>
      <c r="S18" s="293">
        <f>4089933579-Q18-O18-M18</f>
        <v>1089624525</v>
      </c>
      <c r="T18" s="332">
        <v>31</v>
      </c>
      <c r="U18" s="288">
        <f t="shared" ref="U18:U20" si="1">M18+O18+Q18+S18</f>
        <v>4089933579</v>
      </c>
      <c r="V18" s="663">
        <f t="shared" si="0"/>
        <v>31</v>
      </c>
      <c r="W18" s="638">
        <f t="shared" ref="W18:W20" si="2">SUM(I18+U18)</f>
        <v>4089933579</v>
      </c>
      <c r="X18" s="289">
        <f>V18/E18*100</f>
        <v>100</v>
      </c>
      <c r="Y18" s="290">
        <f>W18/G18*100</f>
        <v>16.879781333077236</v>
      </c>
      <c r="Z18" s="802" t="s">
        <v>257</v>
      </c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</row>
    <row r="19" spans="1:36" s="259" customFormat="1" ht="30.75" customHeight="1" x14ac:dyDescent="0.25">
      <c r="A19" s="258"/>
      <c r="B19" s="258"/>
      <c r="C19" s="819"/>
      <c r="D19" s="819"/>
      <c r="E19" s="650"/>
      <c r="F19" s="296" t="s">
        <v>426</v>
      </c>
      <c r="G19" s="297"/>
      <c r="H19" s="671"/>
      <c r="I19" s="317"/>
      <c r="J19" s="649" t="s">
        <v>426</v>
      </c>
      <c r="K19" s="317"/>
      <c r="L19" s="649" t="s">
        <v>426</v>
      </c>
      <c r="M19" s="293"/>
      <c r="N19" s="649" t="s">
        <v>426</v>
      </c>
      <c r="O19" s="293"/>
      <c r="P19" s="617" t="s">
        <v>529</v>
      </c>
      <c r="Q19" s="477"/>
      <c r="R19" s="477" t="s">
        <v>426</v>
      </c>
      <c r="S19" s="293"/>
      <c r="T19" s="461" t="s">
        <v>545</v>
      </c>
      <c r="U19" s="293"/>
      <c r="V19" s="230"/>
      <c r="W19" s="639"/>
      <c r="X19" s="294"/>
      <c r="Y19" s="295"/>
      <c r="Z19" s="802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</row>
    <row r="20" spans="1:36" s="259" customFormat="1" ht="18.75" hidden="1" customHeight="1" x14ac:dyDescent="0.25">
      <c r="A20" s="258"/>
      <c r="B20" s="258"/>
      <c r="C20" s="818" t="s">
        <v>461</v>
      </c>
      <c r="D20" s="818" t="s">
        <v>462</v>
      </c>
      <c r="E20" s="640">
        <v>30</v>
      </c>
      <c r="F20" s="621"/>
      <c r="G20" s="205">
        <v>129000000</v>
      </c>
      <c r="H20" s="648">
        <v>5</v>
      </c>
      <c r="I20" s="622">
        <v>0</v>
      </c>
      <c r="J20" s="648">
        <v>5</v>
      </c>
      <c r="K20" s="622">
        <v>0</v>
      </c>
      <c r="L20" s="648"/>
      <c r="M20" s="288">
        <v>0</v>
      </c>
      <c r="N20" s="648"/>
      <c r="O20" s="288">
        <v>0</v>
      </c>
      <c r="P20" s="299"/>
      <c r="Q20" s="205">
        <v>0</v>
      </c>
      <c r="R20" s="299"/>
      <c r="S20" s="288">
        <v>0</v>
      </c>
      <c r="T20" s="332">
        <f t="shared" ref="T20" si="3">R20+P20+N20+L20</f>
        <v>0</v>
      </c>
      <c r="U20" s="288">
        <f t="shared" si="1"/>
        <v>0</v>
      </c>
      <c r="V20" s="663">
        <f t="shared" si="0"/>
        <v>5</v>
      </c>
      <c r="W20" s="638">
        <f t="shared" si="2"/>
        <v>0</v>
      </c>
      <c r="X20" s="289">
        <f t="shared" ref="X20" si="4">V20/E20*100%</f>
        <v>0.16666666666666666</v>
      </c>
      <c r="Y20" s="290">
        <f t="shared" ref="Y20" si="5">W20/G20*100/100</f>
        <v>0</v>
      </c>
      <c r="Z20" s="802" t="s">
        <v>257</v>
      </c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</row>
    <row r="21" spans="1:36" s="259" customFormat="1" ht="74.25" hidden="1" customHeight="1" x14ac:dyDescent="0.25">
      <c r="A21" s="258"/>
      <c r="B21" s="258"/>
      <c r="C21" s="819"/>
      <c r="D21" s="819"/>
      <c r="E21" s="650"/>
      <c r="F21" s="296" t="s">
        <v>409</v>
      </c>
      <c r="G21" s="297"/>
      <c r="H21" s="671" t="s">
        <v>259</v>
      </c>
      <c r="I21" s="317"/>
      <c r="J21" s="671" t="s">
        <v>259</v>
      </c>
      <c r="K21" s="317"/>
      <c r="L21" s="671"/>
      <c r="M21" s="293"/>
      <c r="N21" s="671"/>
      <c r="O21" s="293"/>
      <c r="P21" s="298"/>
      <c r="Q21" s="297"/>
      <c r="R21" s="298"/>
      <c r="S21" s="293"/>
      <c r="T21" s="461"/>
      <c r="U21" s="293"/>
      <c r="V21" s="230"/>
      <c r="W21" s="638"/>
      <c r="X21" s="294"/>
      <c r="Y21" s="290"/>
      <c r="Z21" s="802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</row>
    <row r="22" spans="1:36" s="133" customFormat="1" ht="27.75" customHeight="1" x14ac:dyDescent="0.25">
      <c r="A22" s="268"/>
      <c r="B22" s="268"/>
      <c r="C22" s="807" t="s">
        <v>265</v>
      </c>
      <c r="D22" s="812" t="s">
        <v>378</v>
      </c>
      <c r="E22" s="493">
        <v>100</v>
      </c>
      <c r="F22" s="814" t="s">
        <v>263</v>
      </c>
      <c r="G22" s="494">
        <f>SUM(G24:G35)</f>
        <v>2703577567</v>
      </c>
      <c r="H22" s="493">
        <v>100</v>
      </c>
      <c r="I22" s="494">
        <f>SUM(I24:I36)</f>
        <v>414087046</v>
      </c>
      <c r="J22" s="493">
        <v>100</v>
      </c>
      <c r="K22" s="494">
        <f>SUM(K24:K35)</f>
        <v>433382650</v>
      </c>
      <c r="L22" s="493">
        <v>25</v>
      </c>
      <c r="M22" s="494">
        <f>SUM(M24:M35)</f>
        <v>88692724</v>
      </c>
      <c r="N22" s="493">
        <v>25</v>
      </c>
      <c r="O22" s="494">
        <f>SUM(O24:O35)</f>
        <v>68836000</v>
      </c>
      <c r="P22" s="631">
        <v>25</v>
      </c>
      <c r="Q22" s="494">
        <f t="shared" ref="Q22:S22" si="6">SUM(Q24:Q35)</f>
        <v>137685330</v>
      </c>
      <c r="R22" s="631">
        <v>25</v>
      </c>
      <c r="S22" s="494">
        <f t="shared" si="6"/>
        <v>136696545</v>
      </c>
      <c r="T22" s="674">
        <f>R22+P22+N22+L22</f>
        <v>100</v>
      </c>
      <c r="U22" s="494">
        <f>M22+O22+Q22+S22</f>
        <v>431910599</v>
      </c>
      <c r="V22" s="495">
        <f>H22+T22</f>
        <v>200</v>
      </c>
      <c r="W22" s="646">
        <f>SUM(I22+U22)</f>
        <v>845997645</v>
      </c>
      <c r="X22" s="496">
        <f>V22/E22*100</f>
        <v>200</v>
      </c>
      <c r="Y22" s="497">
        <f>W22/G22*100</f>
        <v>31.291783721180728</v>
      </c>
      <c r="Z22" s="816" t="s">
        <v>257</v>
      </c>
      <c r="AB22" s="124"/>
    </row>
    <row r="23" spans="1:36" s="133" customFormat="1" x14ac:dyDescent="0.25">
      <c r="A23" s="268"/>
      <c r="B23" s="268"/>
      <c r="C23" s="808"/>
      <c r="D23" s="813"/>
      <c r="E23" s="498"/>
      <c r="F23" s="815"/>
      <c r="G23" s="486"/>
      <c r="H23" s="498" t="s">
        <v>237</v>
      </c>
      <c r="I23" s="498"/>
      <c r="J23" s="498" t="s">
        <v>237</v>
      </c>
      <c r="K23" s="499"/>
      <c r="L23" s="498" t="s">
        <v>237</v>
      </c>
      <c r="M23" s="498"/>
      <c r="N23" s="498" t="s">
        <v>237</v>
      </c>
      <c r="O23" s="498"/>
      <c r="P23" s="498" t="s">
        <v>237</v>
      </c>
      <c r="Q23" s="486"/>
      <c r="R23" s="498" t="s">
        <v>237</v>
      </c>
      <c r="S23" s="486"/>
      <c r="T23" s="498" t="s">
        <v>237</v>
      </c>
      <c r="U23" s="498"/>
      <c r="V23" s="500"/>
      <c r="W23" s="635"/>
      <c r="X23" s="501"/>
      <c r="Y23" s="502"/>
      <c r="Z23" s="817"/>
      <c r="AB23" s="124"/>
    </row>
    <row r="24" spans="1:36" s="259" customFormat="1" x14ac:dyDescent="0.25">
      <c r="A24" s="300"/>
      <c r="B24" s="300"/>
      <c r="C24" s="818" t="s">
        <v>407</v>
      </c>
      <c r="D24" s="818" t="s">
        <v>408</v>
      </c>
      <c r="E24" s="237">
        <v>84</v>
      </c>
      <c r="F24" s="301"/>
      <c r="G24" s="236">
        <v>49330946</v>
      </c>
      <c r="H24" s="302">
        <v>12</v>
      </c>
      <c r="I24" s="303">
        <v>5443000</v>
      </c>
      <c r="J24" s="237">
        <v>12</v>
      </c>
      <c r="K24" s="705">
        <v>5443000</v>
      </c>
      <c r="L24" s="642">
        <v>0</v>
      </c>
      <c r="M24" s="642">
        <v>0</v>
      </c>
      <c r="N24" s="237">
        <v>6</v>
      </c>
      <c r="O24" s="642">
        <f>2556000-M24</f>
        <v>2556000</v>
      </c>
      <c r="P24" s="198">
        <v>6</v>
      </c>
      <c r="Q24" s="236">
        <f>5443000-O24-M24</f>
        <v>2887000</v>
      </c>
      <c r="R24" s="662">
        <v>0</v>
      </c>
      <c r="S24" s="236">
        <f>5443000-Q24-O24-M24</f>
        <v>0</v>
      </c>
      <c r="T24" s="642">
        <f>R24+P24+N24+L24</f>
        <v>12</v>
      </c>
      <c r="U24" s="642">
        <f>M24+O24+Q24+S24</f>
        <v>5443000</v>
      </c>
      <c r="V24" s="217">
        <f t="shared" ref="V24:V34" si="7">H24+T24</f>
        <v>24</v>
      </c>
      <c r="W24" s="642">
        <f t="shared" ref="W24:W26" si="8">SUM(I24+U24)</f>
        <v>10886000</v>
      </c>
      <c r="X24" s="304">
        <f>V24/E24*100</f>
        <v>28.571428571428569</v>
      </c>
      <c r="Y24" s="305">
        <f>W24/G24*100</f>
        <v>22.067284093842432</v>
      </c>
      <c r="Z24" s="802" t="s">
        <v>257</v>
      </c>
      <c r="AB24" s="306"/>
    </row>
    <row r="25" spans="1:36" s="259" customFormat="1" ht="32.25" customHeight="1" x14ac:dyDescent="0.25">
      <c r="A25" s="300"/>
      <c r="B25" s="300"/>
      <c r="C25" s="819"/>
      <c r="D25" s="819"/>
      <c r="E25" s="307"/>
      <c r="F25" s="286" t="s">
        <v>264</v>
      </c>
      <c r="G25" s="239"/>
      <c r="H25" s="238" t="s">
        <v>409</v>
      </c>
      <c r="I25" s="238"/>
      <c r="J25" s="238" t="s">
        <v>264</v>
      </c>
      <c r="K25" s="706"/>
      <c r="L25" s="238" t="s">
        <v>264</v>
      </c>
      <c r="M25" s="639"/>
      <c r="N25" s="238" t="s">
        <v>264</v>
      </c>
      <c r="O25" s="238"/>
      <c r="P25" s="242" t="s">
        <v>264</v>
      </c>
      <c r="Q25" s="308"/>
      <c r="R25" s="238" t="s">
        <v>264</v>
      </c>
      <c r="S25" s="239"/>
      <c r="T25" s="238" t="s">
        <v>264</v>
      </c>
      <c r="U25" s="238"/>
      <c r="V25" s="309"/>
      <c r="W25" s="638"/>
      <c r="X25" s="310"/>
      <c r="Y25" s="311"/>
      <c r="Z25" s="802"/>
      <c r="AB25" s="306"/>
    </row>
    <row r="26" spans="1:36" s="259" customFormat="1" ht="17.25" customHeight="1" x14ac:dyDescent="0.25">
      <c r="A26" s="300"/>
      <c r="B26" s="300"/>
      <c r="C26" s="818" t="s">
        <v>267</v>
      </c>
      <c r="D26" s="820" t="s">
        <v>410</v>
      </c>
      <c r="E26" s="312">
        <v>1986</v>
      </c>
      <c r="F26" s="313"/>
      <c r="G26" s="314">
        <v>92610000</v>
      </c>
      <c r="H26" s="312">
        <v>248</v>
      </c>
      <c r="I26" s="638">
        <v>19270000</v>
      </c>
      <c r="J26" s="312">
        <v>284</v>
      </c>
      <c r="K26" s="707">
        <v>17850000</v>
      </c>
      <c r="L26" s="638">
        <v>0</v>
      </c>
      <c r="M26" s="638">
        <v>0</v>
      </c>
      <c r="N26" s="312">
        <v>60</v>
      </c>
      <c r="O26" s="638">
        <f>4100000-M26</f>
        <v>4100000</v>
      </c>
      <c r="P26" s="216">
        <v>40</v>
      </c>
      <c r="Q26" s="314">
        <f>6800000-O26-M26</f>
        <v>2700000</v>
      </c>
      <c r="R26" s="216">
        <v>184</v>
      </c>
      <c r="S26" s="314">
        <f>17850000-Q26-O26-M26</f>
        <v>11050000</v>
      </c>
      <c r="T26" s="638">
        <f>R26+P26+N26+L26</f>
        <v>284</v>
      </c>
      <c r="U26" s="638">
        <f>M26+O26+Q26+S26</f>
        <v>17850000</v>
      </c>
      <c r="V26" s="217">
        <f t="shared" si="7"/>
        <v>532</v>
      </c>
      <c r="W26" s="642">
        <f t="shared" si="8"/>
        <v>37120000</v>
      </c>
      <c r="X26" s="304">
        <f>V26/E26*100</f>
        <v>26.787512588116819</v>
      </c>
      <c r="Y26" s="305">
        <f>W26/G26*100</f>
        <v>40.082064571860492</v>
      </c>
      <c r="Z26" s="802" t="s">
        <v>257</v>
      </c>
      <c r="AB26" s="306"/>
    </row>
    <row r="27" spans="1:36" s="259" customFormat="1" ht="14.25" customHeight="1" x14ac:dyDescent="0.25">
      <c r="A27" s="300"/>
      <c r="B27" s="300"/>
      <c r="C27" s="819"/>
      <c r="D27" s="819"/>
      <c r="E27" s="315"/>
      <c r="F27" s="313" t="s">
        <v>264</v>
      </c>
      <c r="G27" s="314"/>
      <c r="H27" s="315" t="s">
        <v>463</v>
      </c>
      <c r="I27" s="638"/>
      <c r="J27" s="315" t="s">
        <v>264</v>
      </c>
      <c r="K27" s="312"/>
      <c r="L27" s="315" t="s">
        <v>264</v>
      </c>
      <c r="M27" s="638"/>
      <c r="N27" s="315" t="s">
        <v>264</v>
      </c>
      <c r="O27" s="315"/>
      <c r="P27" s="315" t="s">
        <v>264</v>
      </c>
      <c r="Q27" s="314"/>
      <c r="R27" s="315" t="s">
        <v>264</v>
      </c>
      <c r="S27" s="708"/>
      <c r="T27" s="315" t="s">
        <v>264</v>
      </c>
      <c r="U27" s="315"/>
      <c r="V27" s="309"/>
      <c r="W27" s="315"/>
      <c r="X27" s="310"/>
      <c r="Y27" s="311"/>
      <c r="Z27" s="802"/>
      <c r="AB27" s="306"/>
    </row>
    <row r="28" spans="1:36" s="259" customFormat="1" x14ac:dyDescent="0.25">
      <c r="A28" s="300"/>
      <c r="B28" s="300"/>
      <c r="C28" s="794" t="s">
        <v>411</v>
      </c>
      <c r="D28" s="794" t="s">
        <v>412</v>
      </c>
      <c r="E28" s="237">
        <v>854</v>
      </c>
      <c r="F28" s="237"/>
      <c r="G28" s="622">
        <v>228485325</v>
      </c>
      <c r="H28" s="237">
        <v>166</v>
      </c>
      <c r="I28" s="800">
        <v>54974800</v>
      </c>
      <c r="J28" s="237">
        <v>166</v>
      </c>
      <c r="K28" s="800">
        <v>46809200</v>
      </c>
      <c r="L28" s="237">
        <v>16</v>
      </c>
      <c r="M28" s="800">
        <f>6920000+900000</f>
        <v>7820000</v>
      </c>
      <c r="N28" s="237">
        <v>12</v>
      </c>
      <c r="O28" s="800">
        <f>8400000+2600000-M28</f>
        <v>3180000</v>
      </c>
      <c r="P28" s="198">
        <v>50</v>
      </c>
      <c r="Q28" s="622">
        <f>26080000-O28-M28</f>
        <v>15080000</v>
      </c>
      <c r="R28" s="222">
        <v>88</v>
      </c>
      <c r="S28" s="205">
        <f>46659200-Q28-O28-M28</f>
        <v>20579200</v>
      </c>
      <c r="T28" s="237">
        <f>R28+P28+N28+L28</f>
        <v>166</v>
      </c>
      <c r="U28" s="800">
        <f>M28+O28+Q28+S28</f>
        <v>46659200</v>
      </c>
      <c r="V28" s="217">
        <f t="shared" si="7"/>
        <v>332</v>
      </c>
      <c r="W28" s="800">
        <f>SUM(I28+U28)</f>
        <v>101634000</v>
      </c>
      <c r="X28" s="304">
        <f>V28/E28*100</f>
        <v>38.875878220140514</v>
      </c>
      <c r="Y28" s="305">
        <f>W28/G28*100</f>
        <v>44.481631369542001</v>
      </c>
      <c r="Z28" s="802" t="s">
        <v>257</v>
      </c>
      <c r="AB28" s="306"/>
    </row>
    <row r="29" spans="1:36" s="259" customFormat="1" ht="31.5" customHeight="1" x14ac:dyDescent="0.25">
      <c r="A29" s="300"/>
      <c r="B29" s="300"/>
      <c r="C29" s="795"/>
      <c r="D29" s="795"/>
      <c r="E29" s="307"/>
      <c r="F29" s="307" t="s">
        <v>264</v>
      </c>
      <c r="G29" s="623"/>
      <c r="H29" s="307" t="s">
        <v>264</v>
      </c>
      <c r="I29" s="801"/>
      <c r="J29" s="307" t="s">
        <v>264</v>
      </c>
      <c r="K29" s="801"/>
      <c r="L29" s="307" t="s">
        <v>264</v>
      </c>
      <c r="M29" s="801"/>
      <c r="N29" s="307" t="s">
        <v>264</v>
      </c>
      <c r="O29" s="801"/>
      <c r="P29" s="307" t="s">
        <v>264</v>
      </c>
      <c r="Q29" s="623"/>
      <c r="R29" s="307" t="s">
        <v>264</v>
      </c>
      <c r="S29" s="645"/>
      <c r="T29" s="307" t="s">
        <v>264</v>
      </c>
      <c r="U29" s="801"/>
      <c r="V29" s="309"/>
      <c r="W29" s="801"/>
      <c r="X29" s="310"/>
      <c r="Y29" s="311"/>
      <c r="Z29" s="802"/>
      <c r="AB29" s="306"/>
    </row>
    <row r="30" spans="1:36" s="259" customFormat="1" ht="19.5" customHeight="1" x14ac:dyDescent="0.25">
      <c r="A30" s="300"/>
      <c r="B30" s="300"/>
      <c r="C30" s="794" t="s">
        <v>266</v>
      </c>
      <c r="D30" s="794" t="s">
        <v>413</v>
      </c>
      <c r="E30" s="237">
        <v>84</v>
      </c>
      <c r="F30" s="205"/>
      <c r="G30" s="800">
        <v>353672296</v>
      </c>
      <c r="H30" s="237">
        <v>12</v>
      </c>
      <c r="I30" s="800">
        <v>52578220</v>
      </c>
      <c r="J30" s="237">
        <v>12</v>
      </c>
      <c r="K30" s="800">
        <v>61905000</v>
      </c>
      <c r="L30" s="237">
        <v>3</v>
      </c>
      <c r="M30" s="800">
        <f>5345000+4281000+4349000</f>
        <v>13975000</v>
      </c>
      <c r="N30" s="237">
        <v>3</v>
      </c>
      <c r="O30" s="800">
        <f>11343000+9537000+8231000-M30</f>
        <v>15136000</v>
      </c>
      <c r="P30" s="198">
        <v>3</v>
      </c>
      <c r="Q30" s="800">
        <f>39760500-O30-M30</f>
        <v>10649500</v>
      </c>
      <c r="R30" s="222">
        <v>3</v>
      </c>
      <c r="S30" s="205">
        <f>60638495-Q30-O30-M30</f>
        <v>20877995</v>
      </c>
      <c r="T30" s="237">
        <f t="shared" ref="T30:T34" si="9">R30+P30+N30+L30</f>
        <v>12</v>
      </c>
      <c r="U30" s="800">
        <f>M30+O30+Q30+S30</f>
        <v>60638495</v>
      </c>
      <c r="V30" s="217">
        <f t="shared" si="7"/>
        <v>24</v>
      </c>
      <c r="W30" s="800">
        <f>SUM(I30+U30)</f>
        <v>113216715</v>
      </c>
      <c r="X30" s="304">
        <f>V30/E30*100</f>
        <v>28.571428571428569</v>
      </c>
      <c r="Y30" s="305">
        <f>W30/G30*100</f>
        <v>32.011756725214354</v>
      </c>
      <c r="Z30" s="802" t="s">
        <v>257</v>
      </c>
      <c r="AB30" s="306"/>
    </row>
    <row r="31" spans="1:36" s="259" customFormat="1" x14ac:dyDescent="0.25">
      <c r="A31" s="300"/>
      <c r="B31" s="300"/>
      <c r="C31" s="795"/>
      <c r="D31" s="795"/>
      <c r="E31" s="307"/>
      <c r="F31" s="307" t="s">
        <v>264</v>
      </c>
      <c r="G31" s="801"/>
      <c r="H31" s="307" t="s">
        <v>264</v>
      </c>
      <c r="I31" s="801"/>
      <c r="J31" s="307" t="s">
        <v>264</v>
      </c>
      <c r="K31" s="801"/>
      <c r="L31" s="307" t="s">
        <v>264</v>
      </c>
      <c r="M31" s="801"/>
      <c r="N31" s="307" t="s">
        <v>264</v>
      </c>
      <c r="O31" s="801"/>
      <c r="P31" s="307" t="s">
        <v>264</v>
      </c>
      <c r="Q31" s="801"/>
      <c r="R31" s="307" t="s">
        <v>264</v>
      </c>
      <c r="S31" s="645"/>
      <c r="T31" s="307" t="s">
        <v>264</v>
      </c>
      <c r="U31" s="801"/>
      <c r="V31" s="309"/>
      <c r="W31" s="801"/>
      <c r="X31" s="310"/>
      <c r="Y31" s="311"/>
      <c r="Z31" s="802"/>
      <c r="AA31" s="316"/>
      <c r="AB31" s="306"/>
    </row>
    <row r="32" spans="1:36" s="259" customFormat="1" ht="28.5" hidden="1" customHeight="1" x14ac:dyDescent="0.25">
      <c r="A32" s="300"/>
      <c r="B32" s="300"/>
      <c r="C32" s="818" t="s">
        <v>268</v>
      </c>
      <c r="D32" s="818" t="s">
        <v>464</v>
      </c>
      <c r="E32" s="312">
        <v>8</v>
      </c>
      <c r="F32" s="312"/>
      <c r="G32" s="317">
        <v>21000000</v>
      </c>
      <c r="H32" s="312">
        <v>1</v>
      </c>
      <c r="I32" s="317">
        <v>0</v>
      </c>
      <c r="J32" s="312">
        <v>1</v>
      </c>
      <c r="K32" s="317">
        <v>0</v>
      </c>
      <c r="L32" s="312"/>
      <c r="M32" s="317">
        <v>0</v>
      </c>
      <c r="N32" s="312"/>
      <c r="O32" s="317">
        <v>0</v>
      </c>
      <c r="P32" s="216"/>
      <c r="Q32" s="317">
        <v>0</v>
      </c>
      <c r="R32" s="216"/>
      <c r="S32" s="702">
        <v>0</v>
      </c>
      <c r="T32" s="642">
        <f t="shared" si="9"/>
        <v>0</v>
      </c>
      <c r="U32" s="800">
        <f>M32+O32+Q32+S32</f>
        <v>0</v>
      </c>
      <c r="V32" s="217">
        <f t="shared" si="7"/>
        <v>1</v>
      </c>
      <c r="W32" s="800">
        <f>SUM(I32+U32)</f>
        <v>0</v>
      </c>
      <c r="X32" s="304">
        <f>V32/E32*100%</f>
        <v>0.125</v>
      </c>
      <c r="Y32" s="305">
        <f>W32/G32*100%</f>
        <v>0</v>
      </c>
      <c r="Z32" s="802" t="s">
        <v>257</v>
      </c>
      <c r="AA32" s="316"/>
      <c r="AB32" s="306"/>
    </row>
    <row r="33" spans="1:28" s="259" customFormat="1" ht="28.5" hidden="1" customHeight="1" x14ac:dyDescent="0.25">
      <c r="A33" s="300"/>
      <c r="B33" s="300"/>
      <c r="C33" s="819"/>
      <c r="D33" s="819"/>
      <c r="E33" s="312"/>
      <c r="F33" s="312" t="s">
        <v>156</v>
      </c>
      <c r="G33" s="317"/>
      <c r="H33" s="312" t="s">
        <v>156</v>
      </c>
      <c r="I33" s="317"/>
      <c r="J33" s="312" t="s">
        <v>156</v>
      </c>
      <c r="K33" s="317"/>
      <c r="L33" s="312"/>
      <c r="M33" s="317"/>
      <c r="N33" s="312"/>
      <c r="O33" s="317"/>
      <c r="P33" s="216"/>
      <c r="Q33" s="317"/>
      <c r="R33" s="216"/>
      <c r="S33" s="702"/>
      <c r="T33" s="307"/>
      <c r="U33" s="801"/>
      <c r="V33" s="309"/>
      <c r="W33" s="801"/>
      <c r="X33" s="310"/>
      <c r="Y33" s="311"/>
      <c r="Z33" s="802"/>
      <c r="AA33" s="316"/>
      <c r="AB33" s="306"/>
    </row>
    <row r="34" spans="1:28" s="259" customFormat="1" ht="17.25" customHeight="1" x14ac:dyDescent="0.25">
      <c r="A34" s="300"/>
      <c r="B34" s="300"/>
      <c r="C34" s="818" t="s">
        <v>269</v>
      </c>
      <c r="D34" s="818" t="s">
        <v>414</v>
      </c>
      <c r="E34" s="237">
        <v>34</v>
      </c>
      <c r="F34" s="237"/>
      <c r="G34" s="622">
        <v>1958479000</v>
      </c>
      <c r="H34" s="237">
        <v>2</v>
      </c>
      <c r="I34" s="622">
        <v>281821026</v>
      </c>
      <c r="J34" s="237">
        <v>2</v>
      </c>
      <c r="K34" s="622">
        <v>301375450</v>
      </c>
      <c r="L34" s="237">
        <v>0.5</v>
      </c>
      <c r="M34" s="622">
        <f>56324124+10573600</f>
        <v>66897724</v>
      </c>
      <c r="N34" s="237">
        <v>0.5</v>
      </c>
      <c r="O34" s="622">
        <f>94404224+16357500-M34</f>
        <v>43864000</v>
      </c>
      <c r="P34" s="198">
        <v>0.5</v>
      </c>
      <c r="Q34" s="622">
        <f>217130554-O34-M34</f>
        <v>106368830</v>
      </c>
      <c r="R34" s="198">
        <v>0.5</v>
      </c>
      <c r="S34" s="318">
        <f>301319904-Q34-O34-M34</f>
        <v>84189350</v>
      </c>
      <c r="T34" s="237">
        <f t="shared" si="9"/>
        <v>2</v>
      </c>
      <c r="U34" s="622">
        <f>M34+O34+Q34+S34</f>
        <v>301319904</v>
      </c>
      <c r="V34" s="217">
        <f t="shared" si="7"/>
        <v>4</v>
      </c>
      <c r="W34" s="800">
        <f>SUM(I34+U34)</f>
        <v>583140930</v>
      </c>
      <c r="X34" s="304">
        <f>V34/E34*100</f>
        <v>11.76470588235294</v>
      </c>
      <c r="Y34" s="305">
        <f>W34/G34*100</f>
        <v>29.775194423836048</v>
      </c>
      <c r="Z34" s="802" t="s">
        <v>257</v>
      </c>
      <c r="AA34" s="316"/>
      <c r="AB34" s="306"/>
    </row>
    <row r="35" spans="1:28" s="259" customFormat="1" ht="19.5" customHeight="1" x14ac:dyDescent="0.25">
      <c r="A35" s="300"/>
      <c r="B35" s="300"/>
      <c r="C35" s="819"/>
      <c r="D35" s="819"/>
      <c r="E35" s="307"/>
      <c r="F35" s="307" t="s">
        <v>259</v>
      </c>
      <c r="G35" s="623"/>
      <c r="H35" s="307" t="s">
        <v>259</v>
      </c>
      <c r="I35" s="623"/>
      <c r="J35" s="307" t="s">
        <v>259</v>
      </c>
      <c r="K35" s="623"/>
      <c r="L35" s="307" t="s">
        <v>259</v>
      </c>
      <c r="M35" s="623"/>
      <c r="N35" s="307" t="s">
        <v>259</v>
      </c>
      <c r="O35" s="623"/>
      <c r="P35" s="307" t="s">
        <v>259</v>
      </c>
      <c r="Q35" s="623"/>
      <c r="R35" s="307" t="s">
        <v>259</v>
      </c>
      <c r="S35" s="319"/>
      <c r="T35" s="307" t="s">
        <v>259</v>
      </c>
      <c r="U35" s="623"/>
      <c r="V35" s="309"/>
      <c r="W35" s="801"/>
      <c r="X35" s="310"/>
      <c r="Y35" s="311"/>
      <c r="Z35" s="802"/>
      <c r="AA35" s="316"/>
      <c r="AB35" s="306"/>
    </row>
    <row r="36" spans="1:28" s="133" customFormat="1" hidden="1" x14ac:dyDescent="0.25">
      <c r="A36" s="268"/>
      <c r="B36" s="268"/>
      <c r="C36" s="821" t="s">
        <v>384</v>
      </c>
      <c r="D36" s="821" t="s">
        <v>385</v>
      </c>
      <c r="E36" s="625">
        <v>5</v>
      </c>
      <c r="F36" s="817" t="s">
        <v>386</v>
      </c>
      <c r="G36" s="503">
        <f>SUM(G38)</f>
        <v>88500000</v>
      </c>
      <c r="H36" s="625">
        <v>5</v>
      </c>
      <c r="I36" s="503">
        <f>SUM(I38)</f>
        <v>0</v>
      </c>
      <c r="J36" s="625">
        <v>5</v>
      </c>
      <c r="K36" s="503">
        <f>SUM(K38)</f>
        <v>0</v>
      </c>
      <c r="L36" s="625"/>
      <c r="M36" s="503">
        <f>SUM(M38)</f>
        <v>0</v>
      </c>
      <c r="N36" s="625"/>
      <c r="O36" s="503">
        <f>SUM(O38)</f>
        <v>0</v>
      </c>
      <c r="P36" s="503"/>
      <c r="Q36" s="503">
        <f t="shared" ref="Q36:S36" si="10">SUM(Q38)</f>
        <v>0</v>
      </c>
      <c r="R36" s="503"/>
      <c r="S36" s="503">
        <f t="shared" si="10"/>
        <v>0</v>
      </c>
      <c r="T36" s="487">
        <f>R36+P36+N36+L36</f>
        <v>0</v>
      </c>
      <c r="U36" s="503">
        <f>M36+O36+Q36+S36</f>
        <v>0</v>
      </c>
      <c r="V36" s="489">
        <f>H36+T36</f>
        <v>5</v>
      </c>
      <c r="W36" s="503">
        <f>I36+U36</f>
        <v>0</v>
      </c>
      <c r="X36" s="504">
        <f>V36/E36*100%</f>
        <v>1</v>
      </c>
      <c r="Y36" s="505">
        <f>W36/G36*100%</f>
        <v>0</v>
      </c>
      <c r="Z36" s="816" t="s">
        <v>257</v>
      </c>
      <c r="AA36" s="134"/>
      <c r="AB36" s="124"/>
    </row>
    <row r="37" spans="1:28" s="133" customFormat="1" ht="27.6" hidden="1" x14ac:dyDescent="0.25">
      <c r="A37" s="268"/>
      <c r="B37" s="268"/>
      <c r="C37" s="821"/>
      <c r="D37" s="821"/>
      <c r="E37" s="625"/>
      <c r="F37" s="817"/>
      <c r="G37" s="503"/>
      <c r="H37" s="625" t="s">
        <v>388</v>
      </c>
      <c r="I37" s="503"/>
      <c r="J37" s="625" t="s">
        <v>388</v>
      </c>
      <c r="K37" s="503"/>
      <c r="L37" s="625"/>
      <c r="M37" s="503"/>
      <c r="N37" s="625"/>
      <c r="O37" s="503"/>
      <c r="P37" s="489"/>
      <c r="Q37" s="503"/>
      <c r="R37" s="489"/>
      <c r="S37" s="506"/>
      <c r="T37" s="489"/>
      <c r="U37" s="630"/>
      <c r="V37" s="507"/>
      <c r="W37" s="630"/>
      <c r="X37" s="508"/>
      <c r="Y37" s="505"/>
      <c r="Z37" s="822"/>
      <c r="AA37" s="134"/>
      <c r="AB37" s="124"/>
    </row>
    <row r="38" spans="1:28" s="325" customFormat="1" hidden="1" x14ac:dyDescent="0.25">
      <c r="A38" s="320"/>
      <c r="B38" s="320"/>
      <c r="C38" s="818" t="s">
        <v>465</v>
      </c>
      <c r="D38" s="818" t="s">
        <v>466</v>
      </c>
      <c r="E38" s="237">
        <v>30</v>
      </c>
      <c r="F38" s="237"/>
      <c r="G38" s="622">
        <v>88500000</v>
      </c>
      <c r="H38" s="237">
        <v>6</v>
      </c>
      <c r="I38" s="622">
        <v>0</v>
      </c>
      <c r="J38" s="237">
        <v>6</v>
      </c>
      <c r="K38" s="622">
        <v>0</v>
      </c>
      <c r="L38" s="237"/>
      <c r="M38" s="622">
        <v>0</v>
      </c>
      <c r="N38" s="237"/>
      <c r="O38" s="622">
        <v>0</v>
      </c>
      <c r="P38" s="198"/>
      <c r="Q38" s="622">
        <v>0</v>
      </c>
      <c r="R38" s="198"/>
      <c r="S38" s="318">
        <v>0</v>
      </c>
      <c r="T38" s="662">
        <f>R38+P38+N38+L38</f>
        <v>0</v>
      </c>
      <c r="U38" s="321">
        <f t="shared" ref="U38" si="11">M38+O38+Q38+S38</f>
        <v>0</v>
      </c>
      <c r="V38" s="216">
        <f t="shared" ref="V38:W38" si="12">H38+T38</f>
        <v>6</v>
      </c>
      <c r="W38" s="321">
        <f t="shared" si="12"/>
        <v>0</v>
      </c>
      <c r="X38" s="644">
        <f>V38/E38*100%</f>
        <v>0.2</v>
      </c>
      <c r="Y38" s="322">
        <f>W38/G38*100%</f>
        <v>0</v>
      </c>
      <c r="Z38" s="796" t="s">
        <v>257</v>
      </c>
      <c r="AA38" s="323"/>
      <c r="AB38" s="324"/>
    </row>
    <row r="39" spans="1:28" s="325" customFormat="1" ht="30.75" hidden="1" customHeight="1" x14ac:dyDescent="0.25">
      <c r="A39" s="320"/>
      <c r="B39" s="320"/>
      <c r="C39" s="819"/>
      <c r="D39" s="819"/>
      <c r="E39" s="307"/>
      <c r="F39" s="307" t="s">
        <v>259</v>
      </c>
      <c r="G39" s="623"/>
      <c r="H39" s="307" t="s">
        <v>259</v>
      </c>
      <c r="I39" s="623"/>
      <c r="J39" s="307" t="s">
        <v>259</v>
      </c>
      <c r="K39" s="623"/>
      <c r="L39" s="307"/>
      <c r="M39" s="623"/>
      <c r="N39" s="307"/>
      <c r="O39" s="623"/>
      <c r="P39" s="199"/>
      <c r="Q39" s="623"/>
      <c r="R39" s="199"/>
      <c r="S39" s="645"/>
      <c r="T39" s="199"/>
      <c r="U39" s="623"/>
      <c r="V39" s="326"/>
      <c r="W39" s="623"/>
      <c r="X39" s="645"/>
      <c r="Y39" s="327"/>
      <c r="Z39" s="797"/>
      <c r="AA39" s="323"/>
      <c r="AB39" s="324"/>
    </row>
    <row r="40" spans="1:28" s="133" customFormat="1" hidden="1" x14ac:dyDescent="0.25">
      <c r="A40" s="268"/>
      <c r="B40" s="268"/>
      <c r="C40" s="821" t="s">
        <v>262</v>
      </c>
      <c r="D40" s="821" t="s">
        <v>387</v>
      </c>
      <c r="E40" s="625">
        <v>100</v>
      </c>
      <c r="F40" s="625"/>
      <c r="G40" s="503">
        <f>SUM(G42:G47)</f>
        <v>399850000</v>
      </c>
      <c r="H40" s="625">
        <v>100</v>
      </c>
      <c r="I40" s="503">
        <f>SUM(I42:I47)</f>
        <v>32000000</v>
      </c>
      <c r="J40" s="625">
        <v>100</v>
      </c>
      <c r="K40" s="503">
        <f>SUM(K42:K47)</f>
        <v>0</v>
      </c>
      <c r="L40" s="625"/>
      <c r="M40" s="503">
        <f>SUM(M42:M47)</f>
        <v>0</v>
      </c>
      <c r="N40" s="625"/>
      <c r="O40" s="503">
        <f>SUM(O42:O47)</f>
        <v>0</v>
      </c>
      <c r="P40" s="503"/>
      <c r="Q40" s="503">
        <f t="shared" ref="Q40:S40" si="13">SUM(Q42:Q47)</f>
        <v>0</v>
      </c>
      <c r="R40" s="503"/>
      <c r="S40" s="503">
        <f t="shared" si="13"/>
        <v>0</v>
      </c>
      <c r="T40" s="481">
        <f>R40+P40+N40+L40</f>
        <v>0</v>
      </c>
      <c r="U40" s="503">
        <f>M40+O40+Q40+S40</f>
        <v>0</v>
      </c>
      <c r="V40" s="489">
        <f t="shared" ref="V40:W46" si="14">H40+T40</f>
        <v>100</v>
      </c>
      <c r="W40" s="503">
        <f>I40+U40</f>
        <v>32000000</v>
      </c>
      <c r="X40" s="509">
        <f t="shared" ref="X40:X46" si="15">V40/E40*100%</f>
        <v>1</v>
      </c>
      <c r="Y40" s="505">
        <f t="shared" ref="Y40:Y46" si="16">W40/G40*100%</f>
        <v>8.0030011254220337E-2</v>
      </c>
      <c r="Z40" s="817" t="s">
        <v>257</v>
      </c>
      <c r="AA40" s="134"/>
      <c r="AB40" s="124"/>
    </row>
    <row r="41" spans="1:28" s="133" customFormat="1" ht="16.5" hidden="1" customHeight="1" x14ac:dyDescent="0.25">
      <c r="A41" s="268"/>
      <c r="B41" s="268"/>
      <c r="C41" s="821"/>
      <c r="D41" s="821"/>
      <c r="E41" s="625"/>
      <c r="F41" s="625" t="s">
        <v>263</v>
      </c>
      <c r="G41" s="503"/>
      <c r="H41" s="625" t="s">
        <v>389</v>
      </c>
      <c r="I41" s="503"/>
      <c r="J41" s="625" t="s">
        <v>389</v>
      </c>
      <c r="K41" s="503"/>
      <c r="L41" s="625"/>
      <c r="M41" s="503"/>
      <c r="N41" s="625"/>
      <c r="O41" s="503"/>
      <c r="P41" s="489"/>
      <c r="Q41" s="503"/>
      <c r="R41" s="489"/>
      <c r="S41" s="506"/>
      <c r="T41" s="490">
        <f t="shared" ref="T41:T46" si="17">R41+P41+N41+L41</f>
        <v>0</v>
      </c>
      <c r="U41" s="630"/>
      <c r="V41" s="507"/>
      <c r="W41" s="630"/>
      <c r="X41" s="510"/>
      <c r="Y41" s="511"/>
      <c r="Z41" s="817"/>
      <c r="AA41" s="134"/>
      <c r="AB41" s="124"/>
    </row>
    <row r="42" spans="1:28" s="325" customFormat="1" ht="18" hidden="1" customHeight="1" x14ac:dyDescent="0.25">
      <c r="A42" s="320"/>
      <c r="B42" s="320"/>
      <c r="C42" s="818" t="s">
        <v>467</v>
      </c>
      <c r="D42" s="818" t="s">
        <v>511</v>
      </c>
      <c r="E42" s="237">
        <v>77</v>
      </c>
      <c r="F42" s="237"/>
      <c r="G42" s="622">
        <v>179850000</v>
      </c>
      <c r="H42" s="237">
        <v>50</v>
      </c>
      <c r="I42" s="622">
        <v>32000000</v>
      </c>
      <c r="J42" s="237">
        <v>77</v>
      </c>
      <c r="K42" s="622">
        <v>0</v>
      </c>
      <c r="L42" s="237"/>
      <c r="M42" s="622">
        <v>0</v>
      </c>
      <c r="N42" s="237"/>
      <c r="O42" s="622">
        <v>0</v>
      </c>
      <c r="P42" s="198"/>
      <c r="Q42" s="622">
        <v>0</v>
      </c>
      <c r="R42" s="198"/>
      <c r="S42" s="318">
        <v>0</v>
      </c>
      <c r="T42" s="675">
        <f t="shared" si="17"/>
        <v>0</v>
      </c>
      <c r="U42" s="321">
        <f t="shared" ref="U42:U46" si="18">M42+O42+Q42+S42</f>
        <v>0</v>
      </c>
      <c r="V42" s="216">
        <f t="shared" si="14"/>
        <v>50</v>
      </c>
      <c r="W42" s="317">
        <f t="shared" si="14"/>
        <v>32000000</v>
      </c>
      <c r="X42" s="328">
        <f t="shared" si="15"/>
        <v>0.64935064935064934</v>
      </c>
      <c r="Y42" s="329">
        <f t="shared" si="16"/>
        <v>0.17792604948568252</v>
      </c>
      <c r="Z42" s="802" t="s">
        <v>257</v>
      </c>
      <c r="AA42" s="323"/>
      <c r="AB42" s="324"/>
    </row>
    <row r="43" spans="1:28" s="325" customFormat="1" ht="23.25" hidden="1" customHeight="1" x14ac:dyDescent="0.25">
      <c r="A43" s="320"/>
      <c r="B43" s="320"/>
      <c r="C43" s="819"/>
      <c r="D43" s="819"/>
      <c r="E43" s="312"/>
      <c r="F43" s="312" t="s">
        <v>264</v>
      </c>
      <c r="G43" s="317"/>
      <c r="H43" s="312" t="s">
        <v>264</v>
      </c>
      <c r="I43" s="317"/>
      <c r="J43" s="312" t="s">
        <v>264</v>
      </c>
      <c r="K43" s="317"/>
      <c r="L43" s="312"/>
      <c r="M43" s="317"/>
      <c r="N43" s="312"/>
      <c r="O43" s="317"/>
      <c r="P43" s="216"/>
      <c r="Q43" s="317"/>
      <c r="R43" s="216"/>
      <c r="S43" s="702"/>
      <c r="T43" s="704"/>
      <c r="U43" s="214"/>
      <c r="V43" s="199"/>
      <c r="W43" s="623"/>
      <c r="X43" s="645"/>
      <c r="Y43" s="327"/>
      <c r="Z43" s="802"/>
      <c r="AA43" s="323"/>
      <c r="AB43" s="324"/>
    </row>
    <row r="44" spans="1:28" s="325" customFormat="1" ht="18" hidden="1" customHeight="1" x14ac:dyDescent="0.25">
      <c r="A44" s="320"/>
      <c r="B44" s="320"/>
      <c r="C44" s="818" t="s">
        <v>468</v>
      </c>
      <c r="D44" s="818" t="s">
        <v>470</v>
      </c>
      <c r="E44" s="237">
        <v>15</v>
      </c>
      <c r="F44" s="237"/>
      <c r="G44" s="622">
        <v>125000000</v>
      </c>
      <c r="H44" s="237">
        <v>3</v>
      </c>
      <c r="I44" s="622">
        <v>0</v>
      </c>
      <c r="J44" s="237">
        <v>3</v>
      </c>
      <c r="K44" s="622">
        <v>0</v>
      </c>
      <c r="L44" s="237"/>
      <c r="M44" s="622">
        <v>0</v>
      </c>
      <c r="N44" s="237"/>
      <c r="O44" s="622">
        <v>0</v>
      </c>
      <c r="P44" s="198"/>
      <c r="Q44" s="622">
        <v>0</v>
      </c>
      <c r="R44" s="198"/>
      <c r="S44" s="318">
        <v>0</v>
      </c>
      <c r="T44" s="675">
        <f t="shared" si="17"/>
        <v>0</v>
      </c>
      <c r="U44" s="321">
        <f t="shared" si="18"/>
        <v>0</v>
      </c>
      <c r="V44" s="216">
        <f t="shared" si="14"/>
        <v>3</v>
      </c>
      <c r="W44" s="317">
        <f t="shared" si="14"/>
        <v>0</v>
      </c>
      <c r="X44" s="330">
        <f t="shared" si="15"/>
        <v>0.2</v>
      </c>
      <c r="Y44" s="329">
        <f t="shared" si="16"/>
        <v>0</v>
      </c>
      <c r="Z44" s="802" t="s">
        <v>257</v>
      </c>
      <c r="AA44" s="323"/>
      <c r="AB44" s="324"/>
    </row>
    <row r="45" spans="1:28" s="325" customFormat="1" ht="24.75" hidden="1" customHeight="1" x14ac:dyDescent="0.25">
      <c r="A45" s="320"/>
      <c r="B45" s="320"/>
      <c r="C45" s="819"/>
      <c r="D45" s="819"/>
      <c r="E45" s="307"/>
      <c r="F45" s="307" t="s">
        <v>156</v>
      </c>
      <c r="G45" s="623"/>
      <c r="H45" s="307" t="s">
        <v>156</v>
      </c>
      <c r="I45" s="623"/>
      <c r="J45" s="307" t="s">
        <v>156</v>
      </c>
      <c r="K45" s="623"/>
      <c r="L45" s="307"/>
      <c r="M45" s="623"/>
      <c r="N45" s="307"/>
      <c r="O45" s="623"/>
      <c r="P45" s="199"/>
      <c r="Q45" s="623"/>
      <c r="R45" s="199"/>
      <c r="S45" s="319"/>
      <c r="T45" s="704"/>
      <c r="U45" s="214"/>
      <c r="V45" s="199"/>
      <c r="W45" s="623"/>
      <c r="X45" s="645"/>
      <c r="Y45" s="327"/>
      <c r="Z45" s="802"/>
      <c r="AA45" s="323"/>
      <c r="AB45" s="324"/>
    </row>
    <row r="46" spans="1:28" s="325" customFormat="1" ht="18" hidden="1" customHeight="1" x14ac:dyDescent="0.25">
      <c r="A46" s="320"/>
      <c r="B46" s="320"/>
      <c r="C46" s="818" t="s">
        <v>469</v>
      </c>
      <c r="D46" s="818" t="s">
        <v>471</v>
      </c>
      <c r="E46" s="312">
        <v>28</v>
      </c>
      <c r="F46" s="312"/>
      <c r="G46" s="317">
        <v>95000000</v>
      </c>
      <c r="H46" s="312">
        <v>5</v>
      </c>
      <c r="I46" s="317">
        <v>0</v>
      </c>
      <c r="J46" s="312">
        <v>5</v>
      </c>
      <c r="K46" s="317">
        <v>0</v>
      </c>
      <c r="L46" s="312"/>
      <c r="M46" s="317">
        <v>0</v>
      </c>
      <c r="N46" s="312"/>
      <c r="O46" s="317">
        <v>0</v>
      </c>
      <c r="P46" s="216"/>
      <c r="Q46" s="317">
        <v>0</v>
      </c>
      <c r="R46" s="216"/>
      <c r="S46" s="702">
        <v>0</v>
      </c>
      <c r="T46" s="675">
        <f t="shared" si="17"/>
        <v>0</v>
      </c>
      <c r="U46" s="321">
        <f t="shared" si="18"/>
        <v>0</v>
      </c>
      <c r="V46" s="216">
        <f t="shared" si="14"/>
        <v>5</v>
      </c>
      <c r="W46" s="317">
        <f t="shared" si="14"/>
        <v>0</v>
      </c>
      <c r="X46" s="331">
        <f t="shared" si="15"/>
        <v>0.17857142857142858</v>
      </c>
      <c r="Y46" s="329">
        <f t="shared" si="16"/>
        <v>0</v>
      </c>
      <c r="Z46" s="802" t="s">
        <v>257</v>
      </c>
      <c r="AA46" s="323"/>
      <c r="AB46" s="324"/>
    </row>
    <row r="47" spans="1:28" s="325" customFormat="1" ht="35.25" hidden="1" customHeight="1" x14ac:dyDescent="0.25">
      <c r="A47" s="320"/>
      <c r="B47" s="320"/>
      <c r="C47" s="819"/>
      <c r="D47" s="819"/>
      <c r="E47" s="307"/>
      <c r="F47" s="307" t="s">
        <v>239</v>
      </c>
      <c r="G47" s="623"/>
      <c r="H47" s="307" t="s">
        <v>239</v>
      </c>
      <c r="I47" s="623"/>
      <c r="J47" s="307" t="s">
        <v>239</v>
      </c>
      <c r="K47" s="623"/>
      <c r="L47" s="307"/>
      <c r="M47" s="623"/>
      <c r="N47" s="307"/>
      <c r="O47" s="623"/>
      <c r="P47" s="199"/>
      <c r="Q47" s="623"/>
      <c r="R47" s="199"/>
      <c r="S47" s="319"/>
      <c r="T47" s="704"/>
      <c r="U47" s="214"/>
      <c r="V47" s="199"/>
      <c r="W47" s="623"/>
      <c r="X47" s="645"/>
      <c r="Y47" s="327"/>
      <c r="Z47" s="802"/>
      <c r="AA47" s="323"/>
      <c r="AB47" s="324"/>
    </row>
    <row r="48" spans="1:28" s="133" customFormat="1" x14ac:dyDescent="0.25">
      <c r="A48" s="268"/>
      <c r="B48" s="268"/>
      <c r="C48" s="813" t="s">
        <v>369</v>
      </c>
      <c r="D48" s="813" t="s">
        <v>382</v>
      </c>
      <c r="E48" s="625">
        <v>48</v>
      </c>
      <c r="F48" s="826" t="s">
        <v>236</v>
      </c>
      <c r="G48" s="512">
        <f>SUM(G50:G57)</f>
        <v>1365317350</v>
      </c>
      <c r="H48" s="625">
        <v>48</v>
      </c>
      <c r="I48" s="828">
        <f>SUM(I50:I57)</f>
        <v>177658060</v>
      </c>
      <c r="J48" s="625">
        <v>48</v>
      </c>
      <c r="K48" s="828">
        <f>SUM(K50:K57)</f>
        <v>1616991200</v>
      </c>
      <c r="L48" s="625">
        <v>12</v>
      </c>
      <c r="M48" s="512">
        <f>SUM(M50:M57)</f>
        <v>72994800</v>
      </c>
      <c r="N48" s="625">
        <v>12</v>
      </c>
      <c r="O48" s="512">
        <f>SUM(O50:O57)</f>
        <v>16360000</v>
      </c>
      <c r="P48" s="512">
        <v>12</v>
      </c>
      <c r="Q48" s="512">
        <f t="shared" ref="Q48:S48" si="19">SUM(Q50:Q57)</f>
        <v>821926008</v>
      </c>
      <c r="R48" s="512">
        <v>12</v>
      </c>
      <c r="S48" s="512">
        <f t="shared" si="19"/>
        <v>669055190</v>
      </c>
      <c r="T48" s="635">
        <f>R48+P48+N48+L48</f>
        <v>48</v>
      </c>
      <c r="U48" s="512">
        <f>M48+O48+Q48+S48</f>
        <v>1580335998</v>
      </c>
      <c r="V48" s="489">
        <f>H48+T48</f>
        <v>96</v>
      </c>
      <c r="W48" s="635">
        <f>SUM(I48+U48)</f>
        <v>1757994058</v>
      </c>
      <c r="X48" s="513">
        <f>V48/E48*100</f>
        <v>200</v>
      </c>
      <c r="Y48" s="513">
        <f>W48/G48*100</f>
        <v>128.76083776420185</v>
      </c>
      <c r="Z48" s="817" t="s">
        <v>257</v>
      </c>
      <c r="AB48" s="124"/>
    </row>
    <row r="49" spans="1:28" s="133" customFormat="1" ht="35.25" customHeight="1" x14ac:dyDescent="0.25">
      <c r="A49" s="268"/>
      <c r="B49" s="268"/>
      <c r="C49" s="825"/>
      <c r="D49" s="825"/>
      <c r="E49" s="627"/>
      <c r="F49" s="827"/>
      <c r="G49" s="514"/>
      <c r="H49" s="629" t="s">
        <v>236</v>
      </c>
      <c r="I49" s="829"/>
      <c r="J49" s="629" t="s">
        <v>236</v>
      </c>
      <c r="K49" s="829"/>
      <c r="L49" s="629" t="s">
        <v>236</v>
      </c>
      <c r="M49" s="514"/>
      <c r="N49" s="629" t="s">
        <v>236</v>
      </c>
      <c r="O49" s="514"/>
      <c r="P49" s="629" t="s">
        <v>236</v>
      </c>
      <c r="Q49" s="514"/>
      <c r="R49" s="629" t="s">
        <v>236</v>
      </c>
      <c r="S49" s="510"/>
      <c r="T49" s="643" t="s">
        <v>236</v>
      </c>
      <c r="U49" s="514"/>
      <c r="V49" s="507"/>
      <c r="W49" s="643"/>
      <c r="X49" s="502"/>
      <c r="Y49" s="502"/>
      <c r="Z49" s="822"/>
      <c r="AB49" s="124"/>
    </row>
    <row r="50" spans="1:28" s="259" customFormat="1" x14ac:dyDescent="0.25">
      <c r="A50" s="300"/>
      <c r="B50" s="300"/>
      <c r="C50" s="820" t="s">
        <v>415</v>
      </c>
      <c r="D50" s="820" t="s">
        <v>420</v>
      </c>
      <c r="E50" s="312">
        <v>112</v>
      </c>
      <c r="F50" s="312"/>
      <c r="G50" s="297">
        <v>478352150</v>
      </c>
      <c r="H50" s="650">
        <v>16</v>
      </c>
      <c r="I50" s="317">
        <v>84119760</v>
      </c>
      <c r="J50" s="650">
        <v>16</v>
      </c>
      <c r="K50" s="317">
        <v>90507200</v>
      </c>
      <c r="L50" s="332">
        <v>0</v>
      </c>
      <c r="M50" s="297">
        <v>0</v>
      </c>
      <c r="N50" s="332">
        <v>0</v>
      </c>
      <c r="O50" s="297">
        <f>0-M50</f>
        <v>0</v>
      </c>
      <c r="P50" s="650">
        <v>6</v>
      </c>
      <c r="Q50" s="297">
        <f>27194000-O50-M50</f>
        <v>27194000</v>
      </c>
      <c r="R50" s="216">
        <v>10</v>
      </c>
      <c r="S50" s="702">
        <f>69185632-Q50-O50-M50</f>
        <v>41991632</v>
      </c>
      <c r="T50" s="638">
        <f t="shared" ref="T50:T56" si="20">R50+P50+N50+L50</f>
        <v>16</v>
      </c>
      <c r="U50" s="297">
        <f>M50+O50+Q50+S50</f>
        <v>69185632</v>
      </c>
      <c r="V50" s="216">
        <f>H50+T50</f>
        <v>32</v>
      </c>
      <c r="W50" s="638">
        <f t="shared" ref="W50:W54" si="21">SUM(I50+U50)</f>
        <v>153305392</v>
      </c>
      <c r="X50" s="305">
        <f>V50/E50*100</f>
        <v>28.571428571428569</v>
      </c>
      <c r="Y50" s="305">
        <f>W50/G50*100</f>
        <v>32.048647006185718</v>
      </c>
      <c r="Z50" s="824" t="s">
        <v>257</v>
      </c>
      <c r="AB50" s="306"/>
    </row>
    <row r="51" spans="1:28" s="259" customFormat="1" ht="55.5" customHeight="1" x14ac:dyDescent="0.25">
      <c r="A51" s="300"/>
      <c r="B51" s="300"/>
      <c r="C51" s="823"/>
      <c r="D51" s="823"/>
      <c r="E51" s="312"/>
      <c r="F51" s="312" t="s">
        <v>272</v>
      </c>
      <c r="G51" s="297"/>
      <c r="H51" s="650" t="s">
        <v>272</v>
      </c>
      <c r="I51" s="317"/>
      <c r="J51" s="650" t="s">
        <v>272</v>
      </c>
      <c r="K51" s="317"/>
      <c r="L51" s="650" t="s">
        <v>272</v>
      </c>
      <c r="M51" s="297"/>
      <c r="N51" s="650" t="s">
        <v>272</v>
      </c>
      <c r="O51" s="333"/>
      <c r="P51" s="650" t="s">
        <v>272</v>
      </c>
      <c r="Q51" s="297"/>
      <c r="R51" s="650" t="s">
        <v>272</v>
      </c>
      <c r="S51" s="703"/>
      <c r="T51" s="639" t="s">
        <v>272</v>
      </c>
      <c r="U51" s="297"/>
      <c r="V51" s="199"/>
      <c r="W51" s="639"/>
      <c r="X51" s="311"/>
      <c r="Y51" s="311"/>
      <c r="Z51" s="797"/>
      <c r="AB51" s="306"/>
    </row>
    <row r="52" spans="1:28" s="259" customFormat="1" x14ac:dyDescent="0.25">
      <c r="A52" s="300"/>
      <c r="B52" s="300"/>
      <c r="C52" s="794" t="s">
        <v>280</v>
      </c>
      <c r="D52" s="818" t="s">
        <v>416</v>
      </c>
      <c r="E52" s="237">
        <v>103</v>
      </c>
      <c r="F52" s="237"/>
      <c r="G52" s="205">
        <v>250950000</v>
      </c>
      <c r="H52" s="640">
        <v>17</v>
      </c>
      <c r="I52" s="622">
        <v>10840000</v>
      </c>
      <c r="J52" s="640">
        <v>22</v>
      </c>
      <c r="K52" s="622">
        <v>19880000</v>
      </c>
      <c r="L52" s="640">
        <v>6</v>
      </c>
      <c r="M52" s="205">
        <f>1220000+3200000</f>
        <v>4420000</v>
      </c>
      <c r="N52" s="459">
        <v>0</v>
      </c>
      <c r="O52" s="205">
        <f>1220000+3200000-M52</f>
        <v>0</v>
      </c>
      <c r="P52" s="640">
        <v>10</v>
      </c>
      <c r="Q52" s="205">
        <f>15260000-O52-M52</f>
        <v>10840000</v>
      </c>
      <c r="R52" s="198">
        <v>6</v>
      </c>
      <c r="S52" s="318">
        <f>19880000-Q52-O52-M52</f>
        <v>4620000</v>
      </c>
      <c r="T52" s="638">
        <f t="shared" si="20"/>
        <v>22</v>
      </c>
      <c r="U52" s="622">
        <f>M52+O52+Q52+S52</f>
        <v>19880000</v>
      </c>
      <c r="V52" s="216">
        <f t="shared" ref="V52:V54" si="22">H52+T52</f>
        <v>39</v>
      </c>
      <c r="W52" s="638">
        <f t="shared" si="21"/>
        <v>30720000</v>
      </c>
      <c r="X52" s="305">
        <f>V52/E52*100</f>
        <v>37.864077669902912</v>
      </c>
      <c r="Y52" s="305">
        <f>W52/G52*100</f>
        <v>12.24148236700538</v>
      </c>
      <c r="Z52" s="824" t="s">
        <v>257</v>
      </c>
      <c r="AB52" s="306"/>
    </row>
    <row r="53" spans="1:28" s="259" customFormat="1" ht="18" customHeight="1" x14ac:dyDescent="0.25">
      <c r="A53" s="300"/>
      <c r="B53" s="300"/>
      <c r="C53" s="795"/>
      <c r="D53" s="823"/>
      <c r="E53" s="307"/>
      <c r="F53" s="307" t="s">
        <v>272</v>
      </c>
      <c r="G53" s="206"/>
      <c r="H53" s="641" t="s">
        <v>272</v>
      </c>
      <c r="I53" s="623"/>
      <c r="J53" s="641" t="s">
        <v>272</v>
      </c>
      <c r="K53" s="623"/>
      <c r="L53" s="641" t="s">
        <v>272</v>
      </c>
      <c r="M53" s="206"/>
      <c r="N53" s="641" t="s">
        <v>272</v>
      </c>
      <c r="O53" s="641"/>
      <c r="P53" s="641" t="s">
        <v>272</v>
      </c>
      <c r="Q53" s="206"/>
      <c r="R53" s="641" t="s">
        <v>272</v>
      </c>
      <c r="S53" s="319"/>
      <c r="T53" s="639" t="s">
        <v>272</v>
      </c>
      <c r="U53" s="623"/>
      <c r="V53" s="199"/>
      <c r="W53" s="639"/>
      <c r="X53" s="311"/>
      <c r="Y53" s="311"/>
      <c r="Z53" s="797"/>
      <c r="AB53" s="306"/>
    </row>
    <row r="54" spans="1:28" s="259" customFormat="1" ht="33.75" customHeight="1" x14ac:dyDescent="0.25">
      <c r="A54" s="300"/>
      <c r="B54" s="300"/>
      <c r="C54" s="818" t="s">
        <v>417</v>
      </c>
      <c r="D54" s="818" t="s">
        <v>418</v>
      </c>
      <c r="E54" s="312">
        <v>7</v>
      </c>
      <c r="F54" s="312"/>
      <c r="G54" s="297">
        <v>329896500</v>
      </c>
      <c r="H54" s="650">
        <v>1</v>
      </c>
      <c r="I54" s="317">
        <v>27510000</v>
      </c>
      <c r="J54" s="650">
        <v>2</v>
      </c>
      <c r="K54" s="317">
        <v>1445210000</v>
      </c>
      <c r="L54" s="332">
        <v>0</v>
      </c>
      <c r="M54" s="297">
        <f>55144800</f>
        <v>55144800</v>
      </c>
      <c r="N54" s="332">
        <v>0</v>
      </c>
      <c r="O54" s="297">
        <f>4087000+1270000+1650000+55144800+3200000-M54</f>
        <v>10207000</v>
      </c>
      <c r="P54" s="332">
        <v>1</v>
      </c>
      <c r="Q54" s="297">
        <f>845484308-O54-M54</f>
        <v>780132508</v>
      </c>
      <c r="R54" s="216">
        <v>1</v>
      </c>
      <c r="S54" s="702">
        <f>1438232866-Q54-O54-M54</f>
        <v>592748558</v>
      </c>
      <c r="T54" s="638">
        <f t="shared" si="20"/>
        <v>2</v>
      </c>
      <c r="U54" s="297">
        <f>M54+O54+Q54+S54</f>
        <v>1438232866</v>
      </c>
      <c r="V54" s="216">
        <f t="shared" si="22"/>
        <v>3</v>
      </c>
      <c r="W54" s="638">
        <f t="shared" si="21"/>
        <v>1465742866</v>
      </c>
      <c r="X54" s="305">
        <f>V54/E54*100</f>
        <v>42.857142857142854</v>
      </c>
      <c r="Y54" s="305">
        <f>W54/G54*100</f>
        <v>444.30385469382065</v>
      </c>
      <c r="Z54" s="824" t="s">
        <v>257</v>
      </c>
      <c r="AB54" s="306"/>
    </row>
    <row r="55" spans="1:28" s="259" customFormat="1" x14ac:dyDescent="0.25">
      <c r="A55" s="300"/>
      <c r="B55" s="300"/>
      <c r="C55" s="819"/>
      <c r="D55" s="819"/>
      <c r="E55" s="312"/>
      <c r="F55" s="312" t="s">
        <v>272</v>
      </c>
      <c r="G55" s="297"/>
      <c r="H55" s="650" t="s">
        <v>272</v>
      </c>
      <c r="I55" s="317"/>
      <c r="J55" s="650" t="s">
        <v>272</v>
      </c>
      <c r="K55" s="317"/>
      <c r="L55" s="650" t="s">
        <v>272</v>
      </c>
      <c r="M55" s="297"/>
      <c r="N55" s="650" t="s">
        <v>272</v>
      </c>
      <c r="O55" s="297"/>
      <c r="P55" s="650" t="s">
        <v>272</v>
      </c>
      <c r="Q55" s="297"/>
      <c r="R55" s="650" t="s">
        <v>272</v>
      </c>
      <c r="S55" s="702"/>
      <c r="T55" s="639" t="s">
        <v>272</v>
      </c>
      <c r="U55" s="297"/>
      <c r="V55" s="199"/>
      <c r="W55" s="297"/>
      <c r="X55" s="311"/>
      <c r="Y55" s="311"/>
      <c r="Z55" s="797"/>
      <c r="AB55" s="306"/>
    </row>
    <row r="56" spans="1:28" s="259" customFormat="1" ht="12" customHeight="1" x14ac:dyDescent="0.25">
      <c r="A56" s="300"/>
      <c r="B56" s="300"/>
      <c r="C56" s="794" t="s">
        <v>419</v>
      </c>
      <c r="D56" s="794" t="s">
        <v>421</v>
      </c>
      <c r="E56" s="237">
        <v>98</v>
      </c>
      <c r="F56" s="205"/>
      <c r="G56" s="800">
        <v>306118700</v>
      </c>
      <c r="H56" s="237">
        <v>14</v>
      </c>
      <c r="I56" s="205">
        <v>55188300</v>
      </c>
      <c r="J56" s="237">
        <v>14</v>
      </c>
      <c r="K56" s="205">
        <v>61394000</v>
      </c>
      <c r="L56" s="237">
        <v>3</v>
      </c>
      <c r="M56" s="205">
        <f>2315000+7800000+3315000</f>
        <v>13430000</v>
      </c>
      <c r="N56" s="237">
        <v>3</v>
      </c>
      <c r="O56" s="800">
        <f>3618000+3050000+95000+1605000+11215000-M56</f>
        <v>6153000</v>
      </c>
      <c r="P56" s="198">
        <v>4</v>
      </c>
      <c r="Q56" s="800">
        <f>23342500-O56-M56</f>
        <v>3759500</v>
      </c>
      <c r="R56" s="215">
        <v>4</v>
      </c>
      <c r="S56" s="205">
        <f>53037500-Q56-O56-M56</f>
        <v>29695000</v>
      </c>
      <c r="T56" s="638">
        <f t="shared" si="20"/>
        <v>14</v>
      </c>
      <c r="U56" s="205">
        <f>M56+O56+Q56+S56</f>
        <v>53037500</v>
      </c>
      <c r="V56" s="216">
        <f>H56+T56</f>
        <v>28</v>
      </c>
      <c r="W56" s="800">
        <f>SUM(I56+U56)</f>
        <v>108225800</v>
      </c>
      <c r="X56" s="305">
        <f>V56/E56*100</f>
        <v>28.571428571428569</v>
      </c>
      <c r="Y56" s="305">
        <f>W56/G56*100</f>
        <v>35.354194304366246</v>
      </c>
      <c r="Z56" s="824" t="s">
        <v>257</v>
      </c>
      <c r="AB56" s="306"/>
    </row>
    <row r="57" spans="1:28" s="259" customFormat="1" ht="57.75" customHeight="1" x14ac:dyDescent="0.25">
      <c r="A57" s="300"/>
      <c r="B57" s="300"/>
      <c r="C57" s="795"/>
      <c r="D57" s="795"/>
      <c r="E57" s="335"/>
      <c r="F57" s="335" t="s">
        <v>272</v>
      </c>
      <c r="G57" s="801"/>
      <c r="H57" s="335" t="s">
        <v>272</v>
      </c>
      <c r="I57" s="206"/>
      <c r="J57" s="335" t="s">
        <v>272</v>
      </c>
      <c r="K57" s="206"/>
      <c r="L57" s="335" t="s">
        <v>272</v>
      </c>
      <c r="M57" s="206"/>
      <c r="N57" s="335" t="s">
        <v>272</v>
      </c>
      <c r="O57" s="801"/>
      <c r="P57" s="335" t="s">
        <v>272</v>
      </c>
      <c r="Q57" s="801"/>
      <c r="R57" s="335" t="s">
        <v>272</v>
      </c>
      <c r="S57" s="319"/>
      <c r="T57" s="638" t="s">
        <v>272</v>
      </c>
      <c r="U57" s="206"/>
      <c r="V57" s="216"/>
      <c r="W57" s="801"/>
      <c r="X57" s="305"/>
      <c r="Y57" s="305"/>
      <c r="Z57" s="824"/>
      <c r="AB57" s="306"/>
    </row>
    <row r="58" spans="1:28" s="133" customFormat="1" x14ac:dyDescent="0.25">
      <c r="A58" s="268"/>
      <c r="B58" s="268"/>
      <c r="C58" s="812" t="s">
        <v>456</v>
      </c>
      <c r="D58" s="812" t="s">
        <v>375</v>
      </c>
      <c r="E58" s="515">
        <v>74</v>
      </c>
      <c r="F58" s="831" t="s">
        <v>156</v>
      </c>
      <c r="G58" s="830">
        <f>SUM(G60:G65)</f>
        <v>711286525</v>
      </c>
      <c r="H58" s="515">
        <v>14</v>
      </c>
      <c r="I58" s="830">
        <f>SUM(I60:I65)</f>
        <v>48745800</v>
      </c>
      <c r="J58" s="515">
        <v>14</v>
      </c>
      <c r="K58" s="830">
        <f>SUM(K60:K65)</f>
        <v>111794400</v>
      </c>
      <c r="L58" s="515">
        <v>3</v>
      </c>
      <c r="M58" s="830">
        <f>SUM(M60:M65)</f>
        <v>10750000</v>
      </c>
      <c r="N58" s="515">
        <v>3</v>
      </c>
      <c r="O58" s="830">
        <f>SUM(O60:O65)</f>
        <v>12187200</v>
      </c>
      <c r="P58" s="516">
        <v>5</v>
      </c>
      <c r="Q58" s="830">
        <f>SUM(Q60:Q65)</f>
        <v>66490000</v>
      </c>
      <c r="R58" s="495">
        <v>3</v>
      </c>
      <c r="S58" s="481">
        <f>SUM(S60:S65)</f>
        <v>22267200</v>
      </c>
      <c r="T58" s="676">
        <f>R58+P58+N58+L58</f>
        <v>14</v>
      </c>
      <c r="U58" s="830">
        <f>M58+O58+Q58+S58</f>
        <v>111694400</v>
      </c>
      <c r="V58" s="495">
        <f>H58+T58</f>
        <v>28</v>
      </c>
      <c r="W58" s="830">
        <f t="shared" ref="W58:W65" si="23">SUM(I58+U58)</f>
        <v>160440200</v>
      </c>
      <c r="X58" s="497">
        <f>V58/E58*100</f>
        <v>37.837837837837839</v>
      </c>
      <c r="Y58" s="497">
        <f>W58/G58*100</f>
        <v>22.5563390224495</v>
      </c>
      <c r="Z58" s="816" t="s">
        <v>257</v>
      </c>
      <c r="AB58" s="124"/>
    </row>
    <row r="59" spans="1:28" s="133" customFormat="1" ht="55.5" customHeight="1" x14ac:dyDescent="0.25">
      <c r="A59" s="268"/>
      <c r="B59" s="268"/>
      <c r="C59" s="825"/>
      <c r="D59" s="825"/>
      <c r="E59" s="517"/>
      <c r="F59" s="832"/>
      <c r="G59" s="829"/>
      <c r="H59" s="517" t="s">
        <v>400</v>
      </c>
      <c r="I59" s="829"/>
      <c r="J59" s="517" t="s">
        <v>156</v>
      </c>
      <c r="K59" s="829"/>
      <c r="L59" s="517" t="s">
        <v>156</v>
      </c>
      <c r="M59" s="829"/>
      <c r="N59" s="517" t="s">
        <v>156</v>
      </c>
      <c r="O59" s="829"/>
      <c r="P59" s="517" t="s">
        <v>156</v>
      </c>
      <c r="Q59" s="829"/>
      <c r="R59" s="517" t="s">
        <v>156</v>
      </c>
      <c r="S59" s="518"/>
      <c r="T59" s="519" t="s">
        <v>156</v>
      </c>
      <c r="U59" s="829">
        <f t="shared" ref="U59" si="24">M59+O59+Q59+S59</f>
        <v>0</v>
      </c>
      <c r="V59" s="500"/>
      <c r="W59" s="829">
        <f t="shared" si="23"/>
        <v>0</v>
      </c>
      <c r="X59" s="502"/>
      <c r="Y59" s="520"/>
      <c r="Z59" s="822"/>
      <c r="AB59" s="124"/>
    </row>
    <row r="60" spans="1:28" s="259" customFormat="1" ht="45.75" customHeight="1" x14ac:dyDescent="0.25">
      <c r="A60" s="300"/>
      <c r="B60" s="300"/>
      <c r="C60" s="794" t="s">
        <v>422</v>
      </c>
      <c r="D60" s="794" t="s">
        <v>423</v>
      </c>
      <c r="E60" s="237">
        <v>70</v>
      </c>
      <c r="F60" s="205"/>
      <c r="G60" s="800">
        <v>213018525</v>
      </c>
      <c r="H60" s="237">
        <v>3</v>
      </c>
      <c r="I60" s="800">
        <v>48745800</v>
      </c>
      <c r="J60" s="237">
        <v>14</v>
      </c>
      <c r="K60" s="800">
        <v>111794400</v>
      </c>
      <c r="L60" s="237">
        <v>3</v>
      </c>
      <c r="M60" s="800">
        <f>3250000+3000000+4500000</f>
        <v>10750000</v>
      </c>
      <c r="N60" s="237">
        <v>3</v>
      </c>
      <c r="O60" s="800">
        <f>22937200-M60</f>
        <v>12187200</v>
      </c>
      <c r="P60" s="198">
        <v>5</v>
      </c>
      <c r="Q60" s="800">
        <f>89427200-O60-M60</f>
        <v>66490000</v>
      </c>
      <c r="R60" s="642">
        <v>3</v>
      </c>
      <c r="S60" s="205">
        <f>111694400-Q60-O60-M60</f>
        <v>22267200</v>
      </c>
      <c r="T60" s="662">
        <f>R60+P60+N60+L60</f>
        <v>14</v>
      </c>
      <c r="U60" s="800">
        <f>M60+O60+Q60+S60</f>
        <v>111694400</v>
      </c>
      <c r="V60" s="217">
        <f t="shared" ref="V60:V64" si="25">H60+T60</f>
        <v>17</v>
      </c>
      <c r="W60" s="800">
        <f t="shared" si="23"/>
        <v>160440200</v>
      </c>
      <c r="X60" s="305">
        <f>V60/E60*100</f>
        <v>24.285714285714285</v>
      </c>
      <c r="Y60" s="337">
        <f>W60/G60*100</f>
        <v>75.317487058930681</v>
      </c>
      <c r="Z60" s="824" t="s">
        <v>257</v>
      </c>
    </row>
    <row r="61" spans="1:28" s="339" customFormat="1" ht="45.75" customHeight="1" x14ac:dyDescent="0.25">
      <c r="A61" s="300"/>
      <c r="B61" s="300"/>
      <c r="C61" s="795"/>
      <c r="D61" s="795"/>
      <c r="E61" s="335"/>
      <c r="F61" s="335" t="s">
        <v>259</v>
      </c>
      <c r="G61" s="801"/>
      <c r="H61" s="335" t="s">
        <v>259</v>
      </c>
      <c r="I61" s="801"/>
      <c r="J61" s="335" t="s">
        <v>259</v>
      </c>
      <c r="K61" s="801"/>
      <c r="L61" s="335" t="s">
        <v>259</v>
      </c>
      <c r="M61" s="801"/>
      <c r="N61" s="335" t="s">
        <v>259</v>
      </c>
      <c r="O61" s="801"/>
      <c r="P61" s="335" t="s">
        <v>259</v>
      </c>
      <c r="Q61" s="801"/>
      <c r="R61" s="335" t="s">
        <v>259</v>
      </c>
      <c r="S61" s="645"/>
      <c r="T61" s="336" t="s">
        <v>259</v>
      </c>
      <c r="U61" s="801"/>
      <c r="V61" s="309"/>
      <c r="W61" s="801">
        <f t="shared" si="23"/>
        <v>0</v>
      </c>
      <c r="X61" s="311"/>
      <c r="Y61" s="338"/>
      <c r="Z61" s="797"/>
    </row>
    <row r="62" spans="1:28" s="339" customFormat="1" ht="21.75" hidden="1" customHeight="1" x14ac:dyDescent="0.25">
      <c r="A62" s="300"/>
      <c r="B62" s="300"/>
      <c r="C62" s="818" t="s">
        <v>472</v>
      </c>
      <c r="D62" s="818" t="s">
        <v>473</v>
      </c>
      <c r="E62" s="237">
        <v>34</v>
      </c>
      <c r="F62" s="237"/>
      <c r="G62" s="622">
        <v>245834000</v>
      </c>
      <c r="H62" s="237">
        <v>6</v>
      </c>
      <c r="I62" s="622">
        <v>0</v>
      </c>
      <c r="J62" s="237">
        <v>6</v>
      </c>
      <c r="K62" s="622">
        <v>0</v>
      </c>
      <c r="L62" s="237"/>
      <c r="M62" s="622">
        <v>0</v>
      </c>
      <c r="N62" s="237"/>
      <c r="O62" s="622"/>
      <c r="P62" s="198"/>
      <c r="Q62" s="622"/>
      <c r="R62" s="198"/>
      <c r="S62" s="644"/>
      <c r="T62" s="198"/>
      <c r="U62" s="622"/>
      <c r="V62" s="217">
        <f t="shared" si="25"/>
        <v>6</v>
      </c>
      <c r="W62" s="800">
        <f t="shared" si="23"/>
        <v>0</v>
      </c>
      <c r="X62" s="305">
        <f t="shared" ref="X62:X64" si="26">V62/E62*100%</f>
        <v>0.17647058823529413</v>
      </c>
      <c r="Y62" s="340">
        <f t="shared" ref="Y62:Y64" si="27">W62/G62*100/100</f>
        <v>0</v>
      </c>
      <c r="Z62" s="824" t="s">
        <v>257</v>
      </c>
    </row>
    <row r="63" spans="1:28" s="339" customFormat="1" ht="21.75" hidden="1" customHeight="1" x14ac:dyDescent="0.25">
      <c r="A63" s="300"/>
      <c r="B63" s="300"/>
      <c r="C63" s="819"/>
      <c r="D63" s="819"/>
      <c r="E63" s="307"/>
      <c r="F63" s="307" t="s">
        <v>156</v>
      </c>
      <c r="G63" s="623"/>
      <c r="H63" s="307" t="s">
        <v>156</v>
      </c>
      <c r="I63" s="623"/>
      <c r="J63" s="307" t="s">
        <v>156</v>
      </c>
      <c r="K63" s="623"/>
      <c r="L63" s="307"/>
      <c r="M63" s="623"/>
      <c r="N63" s="307"/>
      <c r="O63" s="623"/>
      <c r="P63" s="199"/>
      <c r="Q63" s="623"/>
      <c r="R63" s="199"/>
      <c r="S63" s="645"/>
      <c r="T63" s="199"/>
      <c r="U63" s="623"/>
      <c r="V63" s="309"/>
      <c r="W63" s="801">
        <f t="shared" si="23"/>
        <v>0</v>
      </c>
      <c r="X63" s="311"/>
      <c r="Y63" s="338"/>
      <c r="Z63" s="797"/>
    </row>
    <row r="64" spans="1:28" s="339" customFormat="1" ht="18" hidden="1" customHeight="1" x14ac:dyDescent="0.25">
      <c r="A64" s="300"/>
      <c r="B64" s="300"/>
      <c r="C64" s="818" t="s">
        <v>474</v>
      </c>
      <c r="D64" s="818" t="s">
        <v>475</v>
      </c>
      <c r="E64" s="341">
        <v>24</v>
      </c>
      <c r="F64" s="341"/>
      <c r="G64" s="317">
        <v>252434000</v>
      </c>
      <c r="H64" s="341">
        <v>4</v>
      </c>
      <c r="I64" s="317">
        <v>0</v>
      </c>
      <c r="J64" s="341">
        <v>4</v>
      </c>
      <c r="K64" s="317">
        <v>0</v>
      </c>
      <c r="L64" s="341"/>
      <c r="M64" s="317">
        <v>0</v>
      </c>
      <c r="N64" s="341"/>
      <c r="O64" s="317"/>
      <c r="P64" s="342"/>
      <c r="Q64" s="317"/>
      <c r="R64" s="342"/>
      <c r="S64" s="330"/>
      <c r="T64" s="343"/>
      <c r="U64" s="622"/>
      <c r="V64" s="217">
        <f t="shared" si="25"/>
        <v>4</v>
      </c>
      <c r="W64" s="800">
        <f t="shared" si="23"/>
        <v>0</v>
      </c>
      <c r="X64" s="305">
        <f t="shared" si="26"/>
        <v>0.16666666666666666</v>
      </c>
      <c r="Y64" s="340">
        <f t="shared" si="27"/>
        <v>0</v>
      </c>
      <c r="Z64" s="824" t="s">
        <v>257</v>
      </c>
    </row>
    <row r="65" spans="1:28" s="339" customFormat="1" ht="18" hidden="1" customHeight="1" x14ac:dyDescent="0.25">
      <c r="A65" s="300"/>
      <c r="B65" s="300"/>
      <c r="C65" s="819"/>
      <c r="D65" s="819"/>
      <c r="E65" s="341"/>
      <c r="F65" s="341" t="s">
        <v>259</v>
      </c>
      <c r="G65" s="317"/>
      <c r="H65" s="341" t="s">
        <v>259</v>
      </c>
      <c r="I65" s="317"/>
      <c r="J65" s="341" t="s">
        <v>259</v>
      </c>
      <c r="K65" s="317"/>
      <c r="L65" s="341"/>
      <c r="M65" s="317"/>
      <c r="N65" s="341"/>
      <c r="O65" s="317"/>
      <c r="P65" s="342"/>
      <c r="Q65" s="317"/>
      <c r="R65" s="342"/>
      <c r="S65" s="330"/>
      <c r="T65" s="336"/>
      <c r="U65" s="623"/>
      <c r="V65" s="309"/>
      <c r="W65" s="801">
        <f t="shared" si="23"/>
        <v>0</v>
      </c>
      <c r="X65" s="311"/>
      <c r="Y65" s="338"/>
      <c r="Z65" s="797"/>
    </row>
    <row r="66" spans="1:28" s="131" customFormat="1" x14ac:dyDescent="0.25">
      <c r="A66" s="270"/>
      <c r="B66" s="270"/>
      <c r="C66" s="813" t="s">
        <v>270</v>
      </c>
      <c r="D66" s="813" t="s">
        <v>376</v>
      </c>
      <c r="E66" s="493">
        <v>182</v>
      </c>
      <c r="F66" s="631"/>
      <c r="G66" s="830">
        <f>SUM(G68:G79)</f>
        <v>6146702000</v>
      </c>
      <c r="H66" s="494">
        <v>33</v>
      </c>
      <c r="I66" s="830">
        <f>SUM(I68:I79)</f>
        <v>104327000</v>
      </c>
      <c r="J66" s="521">
        <v>33</v>
      </c>
      <c r="K66" s="830">
        <f>SUM(K68:K79)</f>
        <v>879135000</v>
      </c>
      <c r="L66" s="631">
        <v>10</v>
      </c>
      <c r="M66" s="830">
        <f>SUM(M72:M79)</f>
        <v>310000000</v>
      </c>
      <c r="N66" s="631">
        <v>0</v>
      </c>
      <c r="O66" s="830">
        <f>SUM(O68:O79)</f>
        <v>0</v>
      </c>
      <c r="P66" s="483">
        <v>5</v>
      </c>
      <c r="Q66" s="830">
        <f>SUM(Q68:Q79)</f>
        <v>25242000</v>
      </c>
      <c r="R66" s="481">
        <v>18</v>
      </c>
      <c r="S66" s="481">
        <f>SUM(S68:S79)</f>
        <v>516475000</v>
      </c>
      <c r="T66" s="487">
        <f>R66+P66+N66+L66</f>
        <v>33</v>
      </c>
      <c r="U66" s="828">
        <f>M66+O66+Q66+S66</f>
        <v>851717000</v>
      </c>
      <c r="V66" s="487">
        <f>H66+T66</f>
        <v>66</v>
      </c>
      <c r="W66" s="828">
        <f>I66+U66</f>
        <v>956044000</v>
      </c>
      <c r="X66" s="513">
        <f>V66/E66*100</f>
        <v>36.263736263736263</v>
      </c>
      <c r="Y66" s="513">
        <f>W66/G66*100</f>
        <v>15.553771762483363</v>
      </c>
      <c r="Z66" s="817" t="s">
        <v>257</v>
      </c>
      <c r="AB66" s="125"/>
    </row>
    <row r="67" spans="1:28" s="131" customFormat="1" ht="28.5" customHeight="1" x14ac:dyDescent="0.25">
      <c r="A67" s="270"/>
      <c r="B67" s="270"/>
      <c r="C67" s="825"/>
      <c r="D67" s="825"/>
      <c r="E67" s="627"/>
      <c r="F67" s="627" t="s">
        <v>272</v>
      </c>
      <c r="G67" s="829"/>
      <c r="H67" s="514" t="s">
        <v>399</v>
      </c>
      <c r="I67" s="829"/>
      <c r="J67" s="522" t="s">
        <v>236</v>
      </c>
      <c r="K67" s="829"/>
      <c r="L67" s="522" t="s">
        <v>236</v>
      </c>
      <c r="M67" s="829"/>
      <c r="N67" s="522" t="s">
        <v>236</v>
      </c>
      <c r="O67" s="829"/>
      <c r="P67" s="522" t="s">
        <v>236</v>
      </c>
      <c r="Q67" s="829"/>
      <c r="R67" s="522" t="s">
        <v>236</v>
      </c>
      <c r="S67" s="518"/>
      <c r="T67" s="630" t="s">
        <v>272</v>
      </c>
      <c r="U67" s="829">
        <f t="shared" ref="U67" si="28">M67+O67+Q67+S67</f>
        <v>0</v>
      </c>
      <c r="V67" s="490"/>
      <c r="W67" s="829"/>
      <c r="X67" s="502"/>
      <c r="Y67" s="502"/>
      <c r="Z67" s="822"/>
      <c r="AB67" s="125"/>
    </row>
    <row r="68" spans="1:28" s="348" customFormat="1" ht="19.5" customHeight="1" x14ac:dyDescent="0.25">
      <c r="A68" s="344"/>
      <c r="B68" s="344"/>
      <c r="C68" s="818" t="s">
        <v>476</v>
      </c>
      <c r="D68" s="818" t="s">
        <v>477</v>
      </c>
      <c r="E68" s="237">
        <v>17</v>
      </c>
      <c r="F68" s="237"/>
      <c r="G68" s="622">
        <v>490000000</v>
      </c>
      <c r="H68" s="205">
        <v>5</v>
      </c>
      <c r="I68" s="622">
        <v>0</v>
      </c>
      <c r="J68" s="345">
        <v>1</v>
      </c>
      <c r="K68" s="622">
        <v>442184000</v>
      </c>
      <c r="L68" s="622">
        <v>0</v>
      </c>
      <c r="M68" s="622">
        <v>0</v>
      </c>
      <c r="N68" s="622">
        <v>0</v>
      </c>
      <c r="O68" s="622">
        <v>0</v>
      </c>
      <c r="P68" s="198">
        <v>0</v>
      </c>
      <c r="Q68" s="622">
        <v>0</v>
      </c>
      <c r="R68" s="198">
        <v>1</v>
      </c>
      <c r="S68" s="700">
        <f>442000000-Q68-O68-M68</f>
        <v>442000000</v>
      </c>
      <c r="T68" s="622">
        <f>R68+P68+N68+L68</f>
        <v>1</v>
      </c>
      <c r="U68" s="622">
        <f>M68+O68+Q68+S68</f>
        <v>442000000</v>
      </c>
      <c r="V68" s="663">
        <f t="shared" ref="V68:V78" si="29">H68+T68</f>
        <v>6</v>
      </c>
      <c r="W68" s="833">
        <f>I68+U68</f>
        <v>442000000</v>
      </c>
      <c r="X68" s="305">
        <f>V68/E68*100</f>
        <v>35.294117647058826</v>
      </c>
      <c r="Y68" s="347">
        <f>W68/G68*100</f>
        <v>90.204081632653072</v>
      </c>
      <c r="Z68" s="796" t="s">
        <v>257</v>
      </c>
      <c r="AB68" s="349"/>
    </row>
    <row r="69" spans="1:28" s="348" customFormat="1" ht="27" customHeight="1" x14ac:dyDescent="0.25">
      <c r="A69" s="344"/>
      <c r="B69" s="344"/>
      <c r="C69" s="819"/>
      <c r="D69" s="819"/>
      <c r="E69" s="307"/>
      <c r="F69" s="307" t="s">
        <v>272</v>
      </c>
      <c r="G69" s="623"/>
      <c r="H69" s="206" t="s">
        <v>272</v>
      </c>
      <c r="I69" s="623"/>
      <c r="J69" s="240" t="s">
        <v>272</v>
      </c>
      <c r="K69" s="623"/>
      <c r="L69" s="240" t="s">
        <v>272</v>
      </c>
      <c r="M69" s="623"/>
      <c r="N69" s="240" t="s">
        <v>272</v>
      </c>
      <c r="O69" s="623"/>
      <c r="P69" s="240" t="s">
        <v>272</v>
      </c>
      <c r="Q69" s="623"/>
      <c r="R69" s="240" t="s">
        <v>272</v>
      </c>
      <c r="S69" s="701"/>
      <c r="T69" s="623" t="s">
        <v>272</v>
      </c>
      <c r="U69" s="623"/>
      <c r="V69" s="230"/>
      <c r="W69" s="801"/>
      <c r="X69" s="311"/>
      <c r="Y69" s="351"/>
      <c r="Z69" s="797"/>
      <c r="AB69" s="349"/>
    </row>
    <row r="70" spans="1:28" s="348" customFormat="1" ht="19.5" customHeight="1" x14ac:dyDescent="0.25">
      <c r="A70" s="344"/>
      <c r="B70" s="344"/>
      <c r="C70" s="818" t="s">
        <v>478</v>
      </c>
      <c r="D70" s="818" t="s">
        <v>479</v>
      </c>
      <c r="E70" s="312">
        <v>103</v>
      </c>
      <c r="F70" s="312"/>
      <c r="G70" s="317">
        <v>474700000</v>
      </c>
      <c r="H70" s="297">
        <v>20</v>
      </c>
      <c r="I70" s="317">
        <v>55857000</v>
      </c>
      <c r="J70" s="352">
        <v>51</v>
      </c>
      <c r="K70" s="317">
        <v>30140000</v>
      </c>
      <c r="L70" s="317"/>
      <c r="M70" s="317">
        <v>0</v>
      </c>
      <c r="N70" s="317"/>
      <c r="O70" s="317">
        <v>0</v>
      </c>
      <c r="P70" s="216"/>
      <c r="Q70" s="317">
        <v>0</v>
      </c>
      <c r="R70" s="216">
        <v>51</v>
      </c>
      <c r="S70" s="709">
        <f>30125000-Q70-O70-M70</f>
        <v>30125000</v>
      </c>
      <c r="T70" s="622">
        <f>R70+P70+N70+L70</f>
        <v>51</v>
      </c>
      <c r="U70" s="317">
        <f>M70+O70+Q70+S70</f>
        <v>30125000</v>
      </c>
      <c r="V70" s="663">
        <f t="shared" si="29"/>
        <v>71</v>
      </c>
      <c r="W70" s="833">
        <f>I70+U70</f>
        <v>85982000</v>
      </c>
      <c r="X70" s="305">
        <f>V70/E70*100</f>
        <v>68.932038834951456</v>
      </c>
      <c r="Y70" s="347">
        <f>W70/G70*100</f>
        <v>18.112913419001476</v>
      </c>
      <c r="Z70" s="824" t="s">
        <v>257</v>
      </c>
      <c r="AB70" s="349"/>
    </row>
    <row r="71" spans="1:28" s="348" customFormat="1" ht="19.5" customHeight="1" x14ac:dyDescent="0.25">
      <c r="A71" s="344"/>
      <c r="B71" s="344"/>
      <c r="C71" s="819"/>
      <c r="D71" s="819"/>
      <c r="E71" s="312"/>
      <c r="F71" s="312" t="s">
        <v>272</v>
      </c>
      <c r="G71" s="317"/>
      <c r="H71" s="297" t="s">
        <v>272</v>
      </c>
      <c r="I71" s="317"/>
      <c r="J71" s="352" t="s">
        <v>272</v>
      </c>
      <c r="K71" s="317"/>
      <c r="L71" s="352" t="s">
        <v>272</v>
      </c>
      <c r="M71" s="317"/>
      <c r="N71" s="352" t="s">
        <v>272</v>
      </c>
      <c r="O71" s="317"/>
      <c r="P71" s="216" t="s">
        <v>272</v>
      </c>
      <c r="Q71" s="317"/>
      <c r="R71" s="352" t="s">
        <v>272</v>
      </c>
      <c r="S71" s="709"/>
      <c r="T71" s="352" t="s">
        <v>272</v>
      </c>
      <c r="U71" s="317"/>
      <c r="V71" s="230"/>
      <c r="W71" s="801"/>
      <c r="X71" s="311"/>
      <c r="Y71" s="351"/>
      <c r="Z71" s="797"/>
      <c r="AB71" s="349"/>
    </row>
    <row r="72" spans="1:28" s="348" customFormat="1" x14ac:dyDescent="0.25">
      <c r="A72" s="344"/>
      <c r="B72" s="344"/>
      <c r="C72" s="794" t="s">
        <v>427</v>
      </c>
      <c r="D72" s="794" t="s">
        <v>428</v>
      </c>
      <c r="E72" s="237">
        <v>5</v>
      </c>
      <c r="F72" s="640"/>
      <c r="G72" s="622">
        <v>3100000000</v>
      </c>
      <c r="H72" s="237">
        <v>2</v>
      </c>
      <c r="I72" s="622">
        <v>0</v>
      </c>
      <c r="J72" s="237">
        <v>1</v>
      </c>
      <c r="K72" s="622">
        <v>336380000</v>
      </c>
      <c r="L72" s="237">
        <v>1</v>
      </c>
      <c r="M72" s="622">
        <f>310000000</f>
        <v>310000000</v>
      </c>
      <c r="N72" s="237"/>
      <c r="O72" s="622">
        <f>310000000-M72</f>
        <v>0</v>
      </c>
      <c r="P72" s="198"/>
      <c r="Q72" s="622">
        <f>310000000-O72-M72</f>
        <v>0</v>
      </c>
      <c r="R72" s="215"/>
      <c r="S72" s="205">
        <f>310000000-Q72-O72-M72</f>
        <v>0</v>
      </c>
      <c r="T72" s="642">
        <f>L72+N72+P72+R72</f>
        <v>1</v>
      </c>
      <c r="U72" s="622">
        <f>M72+O72+Q72+S72</f>
        <v>310000000</v>
      </c>
      <c r="V72" s="663">
        <f t="shared" si="29"/>
        <v>3</v>
      </c>
      <c r="W72" s="833">
        <f>I72+U72</f>
        <v>310000000</v>
      </c>
      <c r="X72" s="305">
        <f>V72/E72*100</f>
        <v>60</v>
      </c>
      <c r="Y72" s="347">
        <f>W72/G72*100</f>
        <v>10</v>
      </c>
      <c r="Z72" s="802" t="s">
        <v>257</v>
      </c>
      <c r="AB72" s="349"/>
    </row>
    <row r="73" spans="1:28" s="348" customFormat="1" ht="34.5" customHeight="1" x14ac:dyDescent="0.25">
      <c r="A73" s="344"/>
      <c r="B73" s="344"/>
      <c r="C73" s="834"/>
      <c r="D73" s="834"/>
      <c r="E73" s="312"/>
      <c r="F73" s="312" t="s">
        <v>272</v>
      </c>
      <c r="G73" s="317" t="s">
        <v>17</v>
      </c>
      <c r="H73" s="312" t="s">
        <v>272</v>
      </c>
      <c r="I73" s="317"/>
      <c r="J73" s="312" t="s">
        <v>271</v>
      </c>
      <c r="K73" s="317"/>
      <c r="L73" s="312" t="s">
        <v>271</v>
      </c>
      <c r="M73" s="317"/>
      <c r="N73" s="312" t="s">
        <v>271</v>
      </c>
      <c r="O73" s="312"/>
      <c r="P73" s="312" t="s">
        <v>271</v>
      </c>
      <c r="Q73" s="317"/>
      <c r="R73" s="312" t="s">
        <v>271</v>
      </c>
      <c r="S73" s="330"/>
      <c r="T73" s="312" t="s">
        <v>272</v>
      </c>
      <c r="U73" s="317"/>
      <c r="V73" s="230"/>
      <c r="W73" s="801"/>
      <c r="X73" s="311"/>
      <c r="Y73" s="351"/>
      <c r="Z73" s="802"/>
      <c r="AB73" s="349"/>
    </row>
    <row r="74" spans="1:28" s="348" customFormat="1" ht="18" hidden="1" customHeight="1" x14ac:dyDescent="0.25">
      <c r="A74" s="344"/>
      <c r="B74" s="344"/>
      <c r="C74" s="818" t="s">
        <v>274</v>
      </c>
      <c r="D74" s="818" t="s">
        <v>480</v>
      </c>
      <c r="E74" s="237">
        <v>1</v>
      </c>
      <c r="F74" s="237"/>
      <c r="G74" s="622">
        <v>600000000</v>
      </c>
      <c r="H74" s="237"/>
      <c r="I74" s="622">
        <v>0</v>
      </c>
      <c r="J74" s="237"/>
      <c r="K74" s="622">
        <v>0</v>
      </c>
      <c r="L74" s="237"/>
      <c r="M74" s="622">
        <v>0</v>
      </c>
      <c r="N74" s="237"/>
      <c r="O74" s="622">
        <v>0</v>
      </c>
      <c r="P74" s="198"/>
      <c r="Q74" s="622"/>
      <c r="R74" s="198"/>
      <c r="S74" s="644"/>
      <c r="T74" s="642">
        <f>R74+P74+N74+L74</f>
        <v>0</v>
      </c>
      <c r="U74" s="622">
        <f>M74+O74+Q74+S74</f>
        <v>0</v>
      </c>
      <c r="V74" s="663">
        <f t="shared" si="29"/>
        <v>0</v>
      </c>
      <c r="W74" s="833">
        <f>I74+U74</f>
        <v>0</v>
      </c>
      <c r="X74" s="305">
        <f t="shared" ref="X74:X76" si="30">V74/E74*100%</f>
        <v>0</v>
      </c>
      <c r="Y74" s="347">
        <f t="shared" ref="Y74:Y76" si="31">W74/G74*100%</f>
        <v>0</v>
      </c>
      <c r="Z74" s="802" t="s">
        <v>257</v>
      </c>
      <c r="AB74" s="349"/>
    </row>
    <row r="75" spans="1:28" s="348" customFormat="1" ht="24.75" hidden="1" customHeight="1" x14ac:dyDescent="0.25">
      <c r="A75" s="344"/>
      <c r="B75" s="344"/>
      <c r="C75" s="819"/>
      <c r="D75" s="819"/>
      <c r="E75" s="307"/>
      <c r="F75" s="307" t="s">
        <v>272</v>
      </c>
      <c r="G75" s="623"/>
      <c r="H75" s="307"/>
      <c r="I75" s="623"/>
      <c r="J75" s="307"/>
      <c r="K75" s="623"/>
      <c r="L75" s="307"/>
      <c r="M75" s="623"/>
      <c r="N75" s="307"/>
      <c r="O75" s="623"/>
      <c r="P75" s="199"/>
      <c r="Q75" s="623"/>
      <c r="R75" s="199"/>
      <c r="S75" s="645"/>
      <c r="T75" s="307"/>
      <c r="U75" s="623"/>
      <c r="V75" s="230"/>
      <c r="W75" s="801"/>
      <c r="X75" s="311"/>
      <c r="Y75" s="351"/>
      <c r="Z75" s="802"/>
      <c r="AB75" s="349"/>
    </row>
    <row r="76" spans="1:28" s="348" customFormat="1" ht="17.25" hidden="1" customHeight="1" x14ac:dyDescent="0.25">
      <c r="A76" s="344"/>
      <c r="B76" s="344"/>
      <c r="C76" s="818" t="s">
        <v>275</v>
      </c>
      <c r="D76" s="818" t="s">
        <v>481</v>
      </c>
      <c r="E76" s="312">
        <v>10</v>
      </c>
      <c r="F76" s="312"/>
      <c r="G76" s="317">
        <v>814002000</v>
      </c>
      <c r="H76" s="312">
        <v>8</v>
      </c>
      <c r="I76" s="317">
        <v>0</v>
      </c>
      <c r="J76" s="312">
        <v>8</v>
      </c>
      <c r="K76" s="317">
        <v>0</v>
      </c>
      <c r="L76" s="312"/>
      <c r="M76" s="317">
        <v>0</v>
      </c>
      <c r="N76" s="312"/>
      <c r="O76" s="317">
        <v>0</v>
      </c>
      <c r="P76" s="216"/>
      <c r="Q76" s="317"/>
      <c r="R76" s="216"/>
      <c r="S76" s="330"/>
      <c r="T76" s="642">
        <f>R76+P76+N76+L76</f>
        <v>0</v>
      </c>
      <c r="U76" s="317">
        <f>M76+O76+Q76+S76</f>
        <v>0</v>
      </c>
      <c r="V76" s="663">
        <f t="shared" si="29"/>
        <v>8</v>
      </c>
      <c r="W76" s="833">
        <f>I76+U76</f>
        <v>0</v>
      </c>
      <c r="X76" s="305">
        <f t="shared" si="30"/>
        <v>0.8</v>
      </c>
      <c r="Y76" s="347">
        <f t="shared" si="31"/>
        <v>0</v>
      </c>
      <c r="Z76" s="802" t="s">
        <v>257</v>
      </c>
      <c r="AB76" s="349"/>
    </row>
    <row r="77" spans="1:28" s="348" customFormat="1" ht="38.25" hidden="1" customHeight="1" x14ac:dyDescent="0.25">
      <c r="A77" s="344"/>
      <c r="B77" s="344"/>
      <c r="C77" s="819"/>
      <c r="D77" s="819"/>
      <c r="E77" s="312"/>
      <c r="F77" s="312" t="s">
        <v>272</v>
      </c>
      <c r="G77" s="317"/>
      <c r="H77" s="312" t="s">
        <v>272</v>
      </c>
      <c r="I77" s="317"/>
      <c r="J77" s="312" t="s">
        <v>272</v>
      </c>
      <c r="K77" s="317"/>
      <c r="L77" s="312"/>
      <c r="M77" s="317"/>
      <c r="N77" s="312"/>
      <c r="O77" s="317"/>
      <c r="P77" s="216"/>
      <c r="Q77" s="317"/>
      <c r="R77" s="216"/>
      <c r="S77" s="330"/>
      <c r="T77" s="312"/>
      <c r="U77" s="317"/>
      <c r="V77" s="230"/>
      <c r="W77" s="801"/>
      <c r="X77" s="311"/>
      <c r="Y77" s="351"/>
      <c r="Z77" s="796"/>
      <c r="AB77" s="349"/>
    </row>
    <row r="78" spans="1:28" s="348" customFormat="1" x14ac:dyDescent="0.25">
      <c r="A78" s="344"/>
      <c r="B78" s="344"/>
      <c r="C78" s="794" t="s">
        <v>273</v>
      </c>
      <c r="D78" s="794" t="str">
        <f>'[1]X.XX NON URUSAN'!D67</f>
        <v>Jumlah Unit Peralatan dan Mesin Lainnya yang Disediakan</v>
      </c>
      <c r="E78" s="237">
        <v>48</v>
      </c>
      <c r="F78" s="622"/>
      <c r="G78" s="622">
        <v>668000000</v>
      </c>
      <c r="H78" s="237">
        <v>8</v>
      </c>
      <c r="I78" s="622">
        <v>48470000</v>
      </c>
      <c r="J78" s="237">
        <v>8</v>
      </c>
      <c r="K78" s="622">
        <f>44431000+26000000</f>
        <v>70431000</v>
      </c>
      <c r="L78" s="642">
        <v>0</v>
      </c>
      <c r="M78" s="622">
        <v>0</v>
      </c>
      <c r="N78" s="642">
        <v>0</v>
      </c>
      <c r="O78" s="622">
        <f>0-M78</f>
        <v>0</v>
      </c>
      <c r="P78" s="198">
        <v>3</v>
      </c>
      <c r="Q78" s="622">
        <f>25242000-O78-M78</f>
        <v>25242000</v>
      </c>
      <c r="R78" s="215">
        <v>5</v>
      </c>
      <c r="S78" s="205">
        <f>44350000+25242000-Q78-O78-M78</f>
        <v>44350000</v>
      </c>
      <c r="T78" s="642">
        <f>R78+P78+N78+L78</f>
        <v>8</v>
      </c>
      <c r="U78" s="622">
        <f>M78+O78+Q78+S78</f>
        <v>69592000</v>
      </c>
      <c r="V78" s="663">
        <f t="shared" si="29"/>
        <v>16</v>
      </c>
      <c r="W78" s="833">
        <f>I78+U78</f>
        <v>118062000</v>
      </c>
      <c r="X78" s="305">
        <f>V78/E78*100</f>
        <v>33.333333333333329</v>
      </c>
      <c r="Y78" s="347">
        <f>W78/G78*100</f>
        <v>17.673952095808385</v>
      </c>
      <c r="Z78" s="796" t="s">
        <v>257</v>
      </c>
      <c r="AB78" s="349"/>
    </row>
    <row r="79" spans="1:28" s="339" customFormat="1" ht="28.5" customHeight="1" x14ac:dyDescent="0.25">
      <c r="A79" s="344"/>
      <c r="B79" s="344"/>
      <c r="C79" s="795"/>
      <c r="D79" s="795"/>
      <c r="E79" s="307"/>
      <c r="F79" s="307" t="s">
        <v>271</v>
      </c>
      <c r="G79" s="623"/>
      <c r="H79" s="307" t="s">
        <v>272</v>
      </c>
      <c r="I79" s="623"/>
      <c r="J79" s="307" t="s">
        <v>271</v>
      </c>
      <c r="K79" s="623"/>
      <c r="L79" s="307" t="s">
        <v>271</v>
      </c>
      <c r="M79" s="623"/>
      <c r="N79" s="307" t="s">
        <v>271</v>
      </c>
      <c r="O79" s="623"/>
      <c r="P79" s="307" t="s">
        <v>271</v>
      </c>
      <c r="Q79" s="623"/>
      <c r="R79" s="307" t="s">
        <v>271</v>
      </c>
      <c r="S79" s="645"/>
      <c r="T79" s="307" t="s">
        <v>272</v>
      </c>
      <c r="U79" s="623"/>
      <c r="V79" s="663"/>
      <c r="W79" s="801"/>
      <c r="X79" s="305"/>
      <c r="Y79" s="347"/>
      <c r="Z79" s="797"/>
      <c r="AA79" s="354"/>
      <c r="AB79" s="355"/>
    </row>
    <row r="80" spans="1:28" s="131" customFormat="1" x14ac:dyDescent="0.25">
      <c r="A80" s="270"/>
      <c r="B80" s="270"/>
      <c r="C80" s="812" t="s">
        <v>276</v>
      </c>
      <c r="D80" s="812" t="s">
        <v>377</v>
      </c>
      <c r="E80" s="480">
        <v>100</v>
      </c>
      <c r="F80" s="480"/>
      <c r="G80" s="830">
        <f>SUM(G82:G94)</f>
        <v>1992585000</v>
      </c>
      <c r="H80" s="480">
        <v>100</v>
      </c>
      <c r="I80" s="830">
        <f>SUM(I82:I94)</f>
        <v>196624165</v>
      </c>
      <c r="J80" s="480">
        <v>100</v>
      </c>
      <c r="K80" s="830">
        <f>SUM(K82:K94)</f>
        <v>236880000</v>
      </c>
      <c r="L80" s="480">
        <v>25</v>
      </c>
      <c r="M80" s="830">
        <f>SUM(M82:M94)</f>
        <v>51210355</v>
      </c>
      <c r="N80" s="480">
        <v>25</v>
      </c>
      <c r="O80" s="830">
        <f>SUM(O82:O94)</f>
        <v>33614311</v>
      </c>
      <c r="P80" s="523">
        <v>25</v>
      </c>
      <c r="Q80" s="830">
        <f>SUM(Q82:Q94)</f>
        <v>72882865</v>
      </c>
      <c r="R80" s="495">
        <v>25</v>
      </c>
      <c r="S80" s="481">
        <f>SUM(S82:S94)</f>
        <v>67991102</v>
      </c>
      <c r="T80" s="495">
        <f>R80+P80+N80+L80</f>
        <v>100</v>
      </c>
      <c r="U80" s="830">
        <f>M80+O80+Q80+S80</f>
        <v>225698633</v>
      </c>
      <c r="V80" s="495">
        <f>H80+T80</f>
        <v>200</v>
      </c>
      <c r="W80" s="830">
        <f t="shared" ref="W80:W81" si="32">SUM(I80+U80)</f>
        <v>422322798</v>
      </c>
      <c r="X80" s="497">
        <f>V80/E80*100</f>
        <v>200</v>
      </c>
      <c r="Y80" s="497">
        <f>W80/G80*100</f>
        <v>21.194719321885891</v>
      </c>
      <c r="Z80" s="817" t="s">
        <v>257</v>
      </c>
      <c r="AA80" s="260"/>
      <c r="AB80" s="125"/>
    </row>
    <row r="81" spans="1:28" s="131" customFormat="1" ht="37.5" customHeight="1" thickBot="1" x14ac:dyDescent="0.3">
      <c r="A81" s="270"/>
      <c r="B81" s="270"/>
      <c r="C81" s="825"/>
      <c r="D81" s="825"/>
      <c r="E81" s="628"/>
      <c r="F81" s="628" t="s">
        <v>263</v>
      </c>
      <c r="G81" s="829"/>
      <c r="H81" s="628" t="s">
        <v>389</v>
      </c>
      <c r="I81" s="829"/>
      <c r="J81" s="628" t="s">
        <v>263</v>
      </c>
      <c r="K81" s="829"/>
      <c r="L81" s="628" t="s">
        <v>263</v>
      </c>
      <c r="M81" s="829"/>
      <c r="N81" s="628" t="s">
        <v>263</v>
      </c>
      <c r="O81" s="829"/>
      <c r="P81" s="628" t="s">
        <v>263</v>
      </c>
      <c r="Q81" s="829"/>
      <c r="R81" s="628" t="s">
        <v>263</v>
      </c>
      <c r="S81" s="518"/>
      <c r="T81" s="628" t="s">
        <v>263</v>
      </c>
      <c r="U81" s="829">
        <f t="shared" ref="U81" si="33">M81+O81+Q81+S81</f>
        <v>0</v>
      </c>
      <c r="V81" s="500"/>
      <c r="W81" s="829">
        <f t="shared" si="32"/>
        <v>0</v>
      </c>
      <c r="X81" s="502"/>
      <c r="Y81" s="502"/>
      <c r="Z81" s="822"/>
      <c r="AB81" s="125"/>
    </row>
    <row r="82" spans="1:28" s="348" customFormat="1" x14ac:dyDescent="0.25">
      <c r="A82" s="344"/>
      <c r="B82" s="344"/>
      <c r="C82" s="794" t="s">
        <v>277</v>
      </c>
      <c r="D82" s="794" t="str">
        <f>'[1]X.XX NON URUSAN'!D74</f>
        <v>Jumlah Laporan Penyediaan Jasa Surat Menyurat</v>
      </c>
      <c r="E82" s="237">
        <v>6</v>
      </c>
      <c r="F82" s="237"/>
      <c r="G82" s="207">
        <v>16175000</v>
      </c>
      <c r="H82" s="237">
        <v>1</v>
      </c>
      <c r="I82" s="622">
        <v>2750000</v>
      </c>
      <c r="J82" s="237">
        <v>1</v>
      </c>
      <c r="K82" s="622">
        <v>3000000</v>
      </c>
      <c r="L82" s="448">
        <v>0.25</v>
      </c>
      <c r="M82" s="622">
        <v>750000</v>
      </c>
      <c r="N82" s="448">
        <v>0.25</v>
      </c>
      <c r="O82" s="207">
        <f>1000000-M82</f>
        <v>250000</v>
      </c>
      <c r="P82" s="448">
        <v>0.25</v>
      </c>
      <c r="Q82" s="207">
        <f>1750000-O82-M82</f>
        <v>750000</v>
      </c>
      <c r="R82" s="710">
        <v>0.25</v>
      </c>
      <c r="S82" s="205">
        <f>3000000-Q82-O82-M82</f>
        <v>1250000</v>
      </c>
      <c r="T82" s="642">
        <f>R82+P82+N82+L82</f>
        <v>1</v>
      </c>
      <c r="U82" s="622">
        <f>M82+O82+Q82+S82</f>
        <v>3000000</v>
      </c>
      <c r="V82" s="356">
        <f t="shared" ref="V82:V93" si="34">H82+T82</f>
        <v>2</v>
      </c>
      <c r="W82" s="622">
        <f>SUM(I82+U82)</f>
        <v>5750000</v>
      </c>
      <c r="X82" s="305">
        <f>V82/E82*100</f>
        <v>33.333333333333329</v>
      </c>
      <c r="Y82" s="305">
        <f>W82/G82*100</f>
        <v>35.548686244204021</v>
      </c>
      <c r="Z82" s="835" t="s">
        <v>257</v>
      </c>
      <c r="AA82" s="348" t="s">
        <v>17</v>
      </c>
      <c r="AB82" s="349"/>
    </row>
    <row r="83" spans="1:28" s="339" customFormat="1" ht="18" customHeight="1" x14ac:dyDescent="0.25">
      <c r="A83" s="344"/>
      <c r="B83" s="344"/>
      <c r="C83" s="834"/>
      <c r="D83" s="834"/>
      <c r="E83" s="312"/>
      <c r="F83" s="312" t="s">
        <v>259</v>
      </c>
      <c r="G83" s="213"/>
      <c r="H83" s="312" t="s">
        <v>259</v>
      </c>
      <c r="I83" s="317"/>
      <c r="J83" s="312" t="s">
        <v>259</v>
      </c>
      <c r="K83" s="317"/>
      <c r="L83" s="312" t="s">
        <v>259</v>
      </c>
      <c r="M83" s="317"/>
      <c r="N83" s="312" t="s">
        <v>259</v>
      </c>
      <c r="O83" s="213"/>
      <c r="P83" s="312" t="s">
        <v>259</v>
      </c>
      <c r="Q83" s="213"/>
      <c r="R83" s="312" t="s">
        <v>259</v>
      </c>
      <c r="S83" s="702"/>
      <c r="T83" s="312" t="s">
        <v>259</v>
      </c>
      <c r="U83" s="317"/>
      <c r="V83" s="356"/>
      <c r="W83" s="317"/>
      <c r="X83" s="305"/>
      <c r="Y83" s="305"/>
      <c r="Z83" s="824"/>
      <c r="AB83" s="355"/>
    </row>
    <row r="84" spans="1:28" s="339" customFormat="1" ht="18" customHeight="1" x14ac:dyDescent="0.25">
      <c r="A84" s="940"/>
      <c r="B84" s="940"/>
      <c r="C84" s="941"/>
      <c r="D84" s="941"/>
      <c r="E84" s="942"/>
      <c r="F84" s="942"/>
      <c r="G84" s="943"/>
      <c r="H84" s="942"/>
      <c r="I84" s="944"/>
      <c r="J84" s="942"/>
      <c r="K84" s="944"/>
      <c r="L84" s="942"/>
      <c r="M84" s="944"/>
      <c r="N84" s="942"/>
      <c r="O84" s="943"/>
      <c r="P84" s="942"/>
      <c r="Q84" s="943"/>
      <c r="R84" s="942"/>
      <c r="S84" s="945"/>
      <c r="T84" s="942"/>
      <c r="U84" s="944"/>
      <c r="V84" s="946"/>
      <c r="W84" s="944"/>
      <c r="X84" s="947"/>
      <c r="Y84" s="947"/>
      <c r="Z84" s="942"/>
      <c r="AB84" s="355"/>
    </row>
    <row r="85" spans="1:28" s="339" customFormat="1" ht="18" customHeight="1" x14ac:dyDescent="0.25">
      <c r="A85" s="948"/>
      <c r="B85" s="948"/>
      <c r="C85" s="949"/>
      <c r="D85" s="949"/>
      <c r="E85" s="950"/>
      <c r="F85" s="950"/>
      <c r="G85" s="951"/>
      <c r="H85" s="950"/>
      <c r="I85" s="952"/>
      <c r="J85" s="950"/>
      <c r="K85" s="952"/>
      <c r="L85" s="950"/>
      <c r="M85" s="952"/>
      <c r="N85" s="950"/>
      <c r="O85" s="951"/>
      <c r="P85" s="950"/>
      <c r="Q85" s="951"/>
      <c r="R85" s="950"/>
      <c r="S85" s="953"/>
      <c r="T85" s="950"/>
      <c r="U85" s="952"/>
      <c r="V85" s="954"/>
      <c r="W85" s="952"/>
      <c r="X85" s="955"/>
      <c r="Y85" s="955"/>
      <c r="Z85" s="950"/>
      <c r="AB85" s="355"/>
    </row>
    <row r="86" spans="1:28" s="133" customFormat="1" x14ac:dyDescent="0.25">
      <c r="A86" s="776" t="s">
        <v>197</v>
      </c>
      <c r="B86" s="776" t="s">
        <v>246</v>
      </c>
      <c r="C86" s="776" t="s">
        <v>250</v>
      </c>
      <c r="D86" s="776" t="s">
        <v>251</v>
      </c>
      <c r="E86" s="767" t="s">
        <v>350</v>
      </c>
      <c r="F86" s="938"/>
      <c r="G86" s="768"/>
      <c r="H86" s="767" t="s">
        <v>372</v>
      </c>
      <c r="I86" s="768"/>
      <c r="J86" s="767" t="s">
        <v>368</v>
      </c>
      <c r="K86" s="768"/>
      <c r="L86" s="787" t="s">
        <v>383</v>
      </c>
      <c r="M86" s="939"/>
      <c r="N86" s="939"/>
      <c r="O86" s="939"/>
      <c r="P86" s="939"/>
      <c r="Q86" s="939"/>
      <c r="R86" s="939"/>
      <c r="S86" s="788"/>
      <c r="T86" s="767" t="s">
        <v>370</v>
      </c>
      <c r="U86" s="768"/>
      <c r="V86" s="767" t="s">
        <v>374</v>
      </c>
      <c r="W86" s="768"/>
      <c r="X86" s="767" t="s">
        <v>547</v>
      </c>
      <c r="Y86" s="768"/>
      <c r="Z86" s="777" t="s">
        <v>252</v>
      </c>
      <c r="AB86" s="124"/>
    </row>
    <row r="87" spans="1:28" s="133" customFormat="1" x14ac:dyDescent="0.25">
      <c r="A87" s="776"/>
      <c r="B87" s="776"/>
      <c r="C87" s="776"/>
      <c r="D87" s="776"/>
      <c r="E87" s="767"/>
      <c r="F87" s="780"/>
      <c r="G87" s="768"/>
      <c r="H87" s="767"/>
      <c r="I87" s="768"/>
      <c r="J87" s="767"/>
      <c r="K87" s="768"/>
      <c r="L87" s="785" t="s">
        <v>353</v>
      </c>
      <c r="M87" s="786"/>
      <c r="N87" s="789" t="s">
        <v>354</v>
      </c>
      <c r="O87" s="790"/>
      <c r="P87" s="789" t="s">
        <v>355</v>
      </c>
      <c r="Q87" s="790"/>
      <c r="R87" s="789" t="s">
        <v>356</v>
      </c>
      <c r="S87" s="790"/>
      <c r="T87" s="767"/>
      <c r="U87" s="768"/>
      <c r="V87" s="767"/>
      <c r="W87" s="768"/>
      <c r="X87" s="767"/>
      <c r="Y87" s="768"/>
      <c r="Z87" s="783"/>
      <c r="AB87" s="124"/>
    </row>
    <row r="88" spans="1:28" s="133" customFormat="1" ht="33.75" customHeight="1" x14ac:dyDescent="0.25">
      <c r="A88" s="776"/>
      <c r="B88" s="776"/>
      <c r="C88" s="776"/>
      <c r="D88" s="776"/>
      <c r="E88" s="769"/>
      <c r="F88" s="781"/>
      <c r="G88" s="770"/>
      <c r="H88" s="769"/>
      <c r="I88" s="770"/>
      <c r="J88" s="769"/>
      <c r="K88" s="770"/>
      <c r="L88" s="787"/>
      <c r="M88" s="788"/>
      <c r="N88" s="791"/>
      <c r="O88" s="792"/>
      <c r="P88" s="791"/>
      <c r="Q88" s="792"/>
      <c r="R88" s="791"/>
      <c r="S88" s="792"/>
      <c r="T88" s="769"/>
      <c r="U88" s="770"/>
      <c r="V88" s="769"/>
      <c r="W88" s="770"/>
      <c r="X88" s="769"/>
      <c r="Y88" s="770"/>
      <c r="Z88" s="783"/>
      <c r="AA88" s="134"/>
      <c r="AB88" s="124"/>
    </row>
    <row r="89" spans="1:28" s="173" customFormat="1" ht="21.75" customHeight="1" thickBot="1" x14ac:dyDescent="0.3">
      <c r="A89" s="777"/>
      <c r="B89" s="778"/>
      <c r="C89" s="778"/>
      <c r="D89" s="778"/>
      <c r="E89" s="161" t="s">
        <v>234</v>
      </c>
      <c r="F89" s="161" t="s">
        <v>235</v>
      </c>
      <c r="G89" s="161" t="s">
        <v>351</v>
      </c>
      <c r="H89" s="161" t="s">
        <v>234</v>
      </c>
      <c r="I89" s="161" t="s">
        <v>352</v>
      </c>
      <c r="J89" s="161" t="s">
        <v>234</v>
      </c>
      <c r="K89" s="161" t="s">
        <v>352</v>
      </c>
      <c r="L89" s="161" t="s">
        <v>234</v>
      </c>
      <c r="M89" s="619" t="s">
        <v>242</v>
      </c>
      <c r="N89" s="161" t="s">
        <v>234</v>
      </c>
      <c r="O89" s="619" t="s">
        <v>242</v>
      </c>
      <c r="P89" s="161" t="s">
        <v>234</v>
      </c>
      <c r="Q89" s="619" t="s">
        <v>242</v>
      </c>
      <c r="R89" s="161" t="s">
        <v>234</v>
      </c>
      <c r="S89" s="619" t="s">
        <v>242</v>
      </c>
      <c r="T89" s="619" t="s">
        <v>74</v>
      </c>
      <c r="U89" s="619" t="s">
        <v>242</v>
      </c>
      <c r="V89" s="619" t="s">
        <v>74</v>
      </c>
      <c r="W89" s="619" t="s">
        <v>242</v>
      </c>
      <c r="X89" s="619" t="s">
        <v>74</v>
      </c>
      <c r="Y89" s="241" t="s">
        <v>242</v>
      </c>
      <c r="Z89" s="784"/>
      <c r="AB89" s="174"/>
    </row>
    <row r="90" spans="1:28" s="133" customFormat="1" x14ac:dyDescent="0.3">
      <c r="A90" s="162">
        <v>1</v>
      </c>
      <c r="B90" s="162">
        <v>2</v>
      </c>
      <c r="C90" s="163">
        <v>3</v>
      </c>
      <c r="D90" s="163">
        <v>4</v>
      </c>
      <c r="E90" s="809">
        <v>5</v>
      </c>
      <c r="F90" s="810"/>
      <c r="G90" s="811"/>
      <c r="H90" s="809">
        <v>6</v>
      </c>
      <c r="I90" s="811"/>
      <c r="J90" s="809">
        <v>7</v>
      </c>
      <c r="K90" s="811"/>
      <c r="L90" s="803">
        <v>8</v>
      </c>
      <c r="M90" s="804"/>
      <c r="N90" s="803">
        <v>9</v>
      </c>
      <c r="O90" s="804"/>
      <c r="P90" s="803">
        <v>10</v>
      </c>
      <c r="Q90" s="804"/>
      <c r="R90" s="803">
        <v>11</v>
      </c>
      <c r="S90" s="804"/>
      <c r="T90" s="803">
        <v>12</v>
      </c>
      <c r="U90" s="804"/>
      <c r="V90" s="805" t="s">
        <v>243</v>
      </c>
      <c r="W90" s="806"/>
      <c r="X90" s="805" t="s">
        <v>244</v>
      </c>
      <c r="Y90" s="806"/>
      <c r="Z90" s="618">
        <v>15</v>
      </c>
      <c r="AB90" s="124"/>
    </row>
    <row r="91" spans="1:28" s="339" customFormat="1" x14ac:dyDescent="0.25">
      <c r="A91" s="344"/>
      <c r="B91" s="344"/>
      <c r="C91" s="794" t="s">
        <v>278</v>
      </c>
      <c r="D91" s="834" t="str">
        <f>'[1]X.XX NON URUSAN'!D75</f>
        <v>Jumlah Laporan Penyediaan Jasa Komunikasi, Sumber Daya Air dan Listrik yang Disediakan</v>
      </c>
      <c r="E91" s="640">
        <v>6</v>
      </c>
      <c r="F91" s="650"/>
      <c r="G91" s="833">
        <v>233000000</v>
      </c>
      <c r="H91" s="640">
        <v>1</v>
      </c>
      <c r="I91" s="833">
        <v>34604165</v>
      </c>
      <c r="J91" s="640">
        <v>1</v>
      </c>
      <c r="K91" s="833">
        <v>48000000</v>
      </c>
      <c r="L91" s="448">
        <v>0.25</v>
      </c>
      <c r="M91" s="833">
        <f>5550353+450000</f>
        <v>6000353</v>
      </c>
      <c r="N91" s="448">
        <v>0.25</v>
      </c>
      <c r="O91" s="833">
        <f>9124664+600000-M91</f>
        <v>3724311</v>
      </c>
      <c r="P91" s="448">
        <v>0.25</v>
      </c>
      <c r="Q91" s="833">
        <f>23147529-O91-M91</f>
        <v>13422865</v>
      </c>
      <c r="R91" s="448">
        <v>0.25</v>
      </c>
      <c r="S91" s="205">
        <f>37358631-Q91-O91-M91</f>
        <v>14211102</v>
      </c>
      <c r="T91" s="642">
        <f>R91+P91+N91+L91</f>
        <v>1</v>
      </c>
      <c r="U91" s="800">
        <f t="shared" ref="U91:U94" si="35">M91+O91+Q91+S91</f>
        <v>37358631</v>
      </c>
      <c r="V91" s="356">
        <f t="shared" si="34"/>
        <v>2</v>
      </c>
      <c r="W91" s="833">
        <f>SUM(I91+U91)</f>
        <v>71962796</v>
      </c>
      <c r="X91" s="305">
        <f>V91/E91*100</f>
        <v>33.333333333333329</v>
      </c>
      <c r="Y91" s="305">
        <f>W91/G91*100</f>
        <v>30.885320171673818</v>
      </c>
      <c r="Z91" s="796" t="s">
        <v>257</v>
      </c>
      <c r="AA91" s="354"/>
      <c r="AB91" s="355"/>
    </row>
    <row r="92" spans="1:28" s="348" customFormat="1" ht="42" customHeight="1" x14ac:dyDescent="0.25">
      <c r="A92" s="344"/>
      <c r="B92" s="344"/>
      <c r="C92" s="834"/>
      <c r="D92" s="834"/>
      <c r="E92" s="650"/>
      <c r="F92" s="650" t="s">
        <v>259</v>
      </c>
      <c r="G92" s="833"/>
      <c r="H92" s="650" t="s">
        <v>259</v>
      </c>
      <c r="I92" s="833"/>
      <c r="J92" s="650" t="s">
        <v>259</v>
      </c>
      <c r="K92" s="833"/>
      <c r="L92" s="650" t="s">
        <v>259</v>
      </c>
      <c r="M92" s="833"/>
      <c r="N92" s="650" t="s">
        <v>259</v>
      </c>
      <c r="O92" s="833"/>
      <c r="P92" s="650" t="s">
        <v>259</v>
      </c>
      <c r="Q92" s="833"/>
      <c r="R92" s="650" t="s">
        <v>259</v>
      </c>
      <c r="S92" s="702"/>
      <c r="T92" s="650" t="s">
        <v>259</v>
      </c>
      <c r="U92" s="801">
        <f t="shared" si="35"/>
        <v>0</v>
      </c>
      <c r="V92" s="357"/>
      <c r="W92" s="833"/>
      <c r="X92" s="311"/>
      <c r="Y92" s="311"/>
      <c r="Z92" s="824"/>
      <c r="AA92" s="348" t="s">
        <v>17</v>
      </c>
      <c r="AB92" s="349"/>
    </row>
    <row r="93" spans="1:28" s="348" customFormat="1" ht="15.75" customHeight="1" x14ac:dyDescent="0.25">
      <c r="A93" s="344"/>
      <c r="B93" s="344"/>
      <c r="C93" s="794" t="s">
        <v>279</v>
      </c>
      <c r="D93" s="794" t="str">
        <f>'[1]X.XX NON URUSAN'!D77</f>
        <v>Jumlah Laporan Penyediaan Jasa Pelayanan Umum Kantor yang Disediakan</v>
      </c>
      <c r="E93" s="640">
        <v>6</v>
      </c>
      <c r="F93" s="640"/>
      <c r="G93" s="207">
        <v>1743410000</v>
      </c>
      <c r="H93" s="640">
        <v>1</v>
      </c>
      <c r="I93" s="207">
        <v>159270000</v>
      </c>
      <c r="J93" s="640">
        <v>1</v>
      </c>
      <c r="K93" s="207">
        <v>185880000</v>
      </c>
      <c r="L93" s="448">
        <v>0.25</v>
      </c>
      <c r="M93" s="207">
        <f>9000000+15750000+3000000+6000000+9000000+1710002</f>
        <v>44460002</v>
      </c>
      <c r="N93" s="448">
        <v>0.25</v>
      </c>
      <c r="O93" s="207">
        <f>13000000+28250000+4000000+11000000+15000000+2850002-M93</f>
        <v>29640000</v>
      </c>
      <c r="P93" s="448">
        <v>0.25</v>
      </c>
      <c r="Q93" s="207">
        <f>132810002-O93-M93</f>
        <v>58710000</v>
      </c>
      <c r="R93" s="448">
        <v>0.25</v>
      </c>
      <c r="S93" s="205">
        <f>185340002-Q93-O93-M93</f>
        <v>52530000</v>
      </c>
      <c r="T93" s="642">
        <f>R93+P93+N93+L93</f>
        <v>1</v>
      </c>
      <c r="U93" s="833">
        <f t="shared" si="35"/>
        <v>185340002</v>
      </c>
      <c r="V93" s="356">
        <f t="shared" si="34"/>
        <v>2</v>
      </c>
      <c r="W93" s="207">
        <f>SUM(I93+U93)</f>
        <v>344610002</v>
      </c>
      <c r="X93" s="305">
        <f>V93/E93*100</f>
        <v>33.333333333333329</v>
      </c>
      <c r="Y93" s="305">
        <f>W93/G93*100</f>
        <v>19.766434860417228</v>
      </c>
      <c r="Z93" s="796" t="s">
        <v>257</v>
      </c>
      <c r="AB93" s="349"/>
    </row>
    <row r="94" spans="1:28" s="348" customFormat="1" ht="32.25" customHeight="1" thickBot="1" x14ac:dyDescent="0.3">
      <c r="A94" s="344"/>
      <c r="B94" s="344"/>
      <c r="C94" s="795"/>
      <c r="D94" s="795"/>
      <c r="E94" s="307"/>
      <c r="F94" s="307" t="s">
        <v>259</v>
      </c>
      <c r="G94" s="220" t="s">
        <v>17</v>
      </c>
      <c r="H94" s="307" t="s">
        <v>259</v>
      </c>
      <c r="I94" s="220"/>
      <c r="J94" s="307" t="s">
        <v>259</v>
      </c>
      <c r="K94" s="220"/>
      <c r="L94" s="650" t="s">
        <v>259</v>
      </c>
      <c r="M94" s="220"/>
      <c r="N94" s="650" t="s">
        <v>259</v>
      </c>
      <c r="O94" s="220"/>
      <c r="P94" s="650" t="s">
        <v>259</v>
      </c>
      <c r="Q94" s="220"/>
      <c r="R94" s="650" t="s">
        <v>259</v>
      </c>
      <c r="S94" s="319"/>
      <c r="T94" s="650" t="s">
        <v>259</v>
      </c>
      <c r="U94" s="833">
        <f t="shared" si="35"/>
        <v>0</v>
      </c>
      <c r="V94" s="358"/>
      <c r="W94" s="220"/>
      <c r="X94" s="359"/>
      <c r="Y94" s="359"/>
      <c r="Z94" s="836"/>
      <c r="AB94" s="349"/>
    </row>
    <row r="95" spans="1:28" s="155" customFormat="1" ht="97.2" thickBot="1" x14ac:dyDescent="0.3">
      <c r="A95" s="135"/>
      <c r="B95" s="135" t="s">
        <v>362</v>
      </c>
      <c r="C95" s="136" t="s">
        <v>281</v>
      </c>
      <c r="D95" s="136" t="s">
        <v>282</v>
      </c>
      <c r="E95" s="147">
        <v>0.1</v>
      </c>
      <c r="F95" s="187" t="s">
        <v>237</v>
      </c>
      <c r="G95" s="145">
        <f>+G96+G104+G108</f>
        <v>3798292100</v>
      </c>
      <c r="H95" s="187">
        <v>0.1</v>
      </c>
      <c r="I95" s="145">
        <f>SUM(I96+I104+I108)</f>
        <v>771662300</v>
      </c>
      <c r="J95" s="187">
        <v>0.1</v>
      </c>
      <c r="K95" s="145">
        <f>SUM(K96+K104+K108)</f>
        <v>595639200</v>
      </c>
      <c r="L95" s="677">
        <v>2.5000000000000001E-2</v>
      </c>
      <c r="M95" s="145">
        <f>SUM(M96+M104+M108)</f>
        <v>98335200</v>
      </c>
      <c r="N95" s="677">
        <v>2.5000000000000001E-2</v>
      </c>
      <c r="O95" s="145">
        <f>O96+O104+O108</f>
        <v>72415000</v>
      </c>
      <c r="P95" s="678">
        <v>2.5000000000000001E-2</v>
      </c>
      <c r="Q95" s="145">
        <f>Q96+Q104+Q108</f>
        <v>152568835</v>
      </c>
      <c r="R95" s="679">
        <v>2.5000000000000001E-2</v>
      </c>
      <c r="S95" s="145">
        <f>S96+S104+S108</f>
        <v>182871000</v>
      </c>
      <c r="T95" s="188">
        <f>R95+P95+N95+L95</f>
        <v>0.1</v>
      </c>
      <c r="U95" s="145">
        <f>M95+O95+Q95+S95</f>
        <v>506190035</v>
      </c>
      <c r="V95" s="188">
        <f>H95+T95</f>
        <v>0.2</v>
      </c>
      <c r="W95" s="145">
        <f>SUM(I95+U95)</f>
        <v>1277852335</v>
      </c>
      <c r="X95" s="180">
        <f>V95/E95*100</f>
        <v>200</v>
      </c>
      <c r="Y95" s="180">
        <f>W95/G95*100</f>
        <v>33.642813700399714</v>
      </c>
      <c r="Z95" s="145" t="s">
        <v>283</v>
      </c>
      <c r="AB95" s="189"/>
    </row>
    <row r="96" spans="1:28" s="155" customFormat="1" x14ac:dyDescent="0.25">
      <c r="A96" s="271"/>
      <c r="B96" s="271"/>
      <c r="C96" s="846" t="s">
        <v>284</v>
      </c>
      <c r="D96" s="846" t="s">
        <v>285</v>
      </c>
      <c r="E96" s="634">
        <v>90</v>
      </c>
      <c r="F96" s="848" t="s">
        <v>286</v>
      </c>
      <c r="G96" s="837">
        <f>SUM(G98:G103)</f>
        <v>664960608</v>
      </c>
      <c r="H96" s="524">
        <v>15</v>
      </c>
      <c r="I96" s="634">
        <f>SUM(I98:I103)</f>
        <v>65535000</v>
      </c>
      <c r="J96" s="524">
        <v>15</v>
      </c>
      <c r="K96" s="634">
        <f>SUM(K98:K103)</f>
        <v>37920000</v>
      </c>
      <c r="L96" s="524">
        <v>3</v>
      </c>
      <c r="M96" s="837">
        <f>SUM(M98:M103)</f>
        <v>4500000</v>
      </c>
      <c r="N96" s="524">
        <v>4</v>
      </c>
      <c r="O96" s="837">
        <f>SUM(O98:O103)</f>
        <v>20365000</v>
      </c>
      <c r="P96" s="525">
        <v>4</v>
      </c>
      <c r="Q96" s="837">
        <f>SUM(Q98:Q103)</f>
        <v>6000000</v>
      </c>
      <c r="R96" s="526">
        <v>4</v>
      </c>
      <c r="S96" s="837">
        <f>SUM(S98:S103)</f>
        <v>5620000</v>
      </c>
      <c r="T96" s="527">
        <f>R96+P96+N96+L96</f>
        <v>15</v>
      </c>
      <c r="U96" s="837">
        <f>M96+O96+Q96+S96</f>
        <v>36485000</v>
      </c>
      <c r="V96" s="526">
        <f>H96+T96</f>
        <v>30</v>
      </c>
      <c r="W96" s="839">
        <f t="shared" ref="W96:W103" si="36">SUM(I96+U96)</f>
        <v>102020000</v>
      </c>
      <c r="X96" s="528">
        <f>V96/E96*100</f>
        <v>33.333333333333329</v>
      </c>
      <c r="Y96" s="529">
        <f>W96/G96*100</f>
        <v>15.342262199086537</v>
      </c>
      <c r="Z96" s="841" t="s">
        <v>283</v>
      </c>
      <c r="AB96" s="189"/>
    </row>
    <row r="97" spans="1:28" s="155" customFormat="1" ht="61.5" customHeight="1" x14ac:dyDescent="0.25">
      <c r="A97" s="139"/>
      <c r="B97" s="139"/>
      <c r="C97" s="847"/>
      <c r="D97" s="847"/>
      <c r="E97" s="625"/>
      <c r="F97" s="826"/>
      <c r="G97" s="838"/>
      <c r="H97" s="625" t="s">
        <v>286</v>
      </c>
      <c r="I97" s="634"/>
      <c r="J97" s="625" t="s">
        <v>286</v>
      </c>
      <c r="K97" s="634"/>
      <c r="L97" s="625" t="s">
        <v>286</v>
      </c>
      <c r="M97" s="838"/>
      <c r="N97" s="625" t="s">
        <v>286</v>
      </c>
      <c r="O97" s="838"/>
      <c r="P97" s="625" t="s">
        <v>286</v>
      </c>
      <c r="Q97" s="838"/>
      <c r="R97" s="625" t="s">
        <v>286</v>
      </c>
      <c r="S97" s="838"/>
      <c r="T97" s="625" t="s">
        <v>286</v>
      </c>
      <c r="U97" s="838">
        <f t="shared" ref="U97" si="37">M97+O97+Q97+S97</f>
        <v>0</v>
      </c>
      <c r="V97" s="530"/>
      <c r="W97" s="840">
        <f t="shared" si="36"/>
        <v>0</v>
      </c>
      <c r="X97" s="531"/>
      <c r="Y97" s="532"/>
      <c r="Z97" s="842"/>
      <c r="AB97" s="189"/>
    </row>
    <row r="98" spans="1:28" s="364" customFormat="1" ht="24.75" hidden="1" customHeight="1" x14ac:dyDescent="0.25">
      <c r="A98" s="360"/>
      <c r="B98" s="360"/>
      <c r="C98" s="818" t="s">
        <v>287</v>
      </c>
      <c r="D98" s="818" t="s">
        <v>482</v>
      </c>
      <c r="E98" s="237">
        <v>77</v>
      </c>
      <c r="F98" s="237"/>
      <c r="G98" s="642">
        <v>100000000</v>
      </c>
      <c r="H98" s="237">
        <v>15</v>
      </c>
      <c r="I98" s="642">
        <v>0</v>
      </c>
      <c r="J98" s="237">
        <v>15</v>
      </c>
      <c r="K98" s="642">
        <v>0</v>
      </c>
      <c r="L98" s="237"/>
      <c r="M98" s="642">
        <v>0</v>
      </c>
      <c r="N98" s="237"/>
      <c r="O98" s="642">
        <v>0</v>
      </c>
      <c r="P98" s="198"/>
      <c r="Q98" s="642"/>
      <c r="R98" s="198"/>
      <c r="S98" s="642"/>
      <c r="T98" s="662">
        <f>R98+P98+N98+L98</f>
        <v>0</v>
      </c>
      <c r="U98" s="642">
        <f>M98+O98+Q98+S98</f>
        <v>0</v>
      </c>
      <c r="V98" s="361">
        <f t="shared" ref="V98:V102" si="38">H98+T98</f>
        <v>15</v>
      </c>
      <c r="W98" s="843">
        <f t="shared" si="36"/>
        <v>0</v>
      </c>
      <c r="X98" s="362">
        <f t="shared" ref="X98:X102" si="39">V98/E98*100%</f>
        <v>0.19480519480519481</v>
      </c>
      <c r="Y98" s="363">
        <f t="shared" ref="Y98:Y102" si="40">W98/G98*100%</f>
        <v>0</v>
      </c>
      <c r="Z98" s="844" t="s">
        <v>283</v>
      </c>
      <c r="AB98" s="365"/>
    </row>
    <row r="99" spans="1:28" s="364" customFormat="1" ht="45.75" hidden="1" customHeight="1" x14ac:dyDescent="0.25">
      <c r="A99" s="360"/>
      <c r="B99" s="360"/>
      <c r="C99" s="819"/>
      <c r="D99" s="819"/>
      <c r="E99" s="307"/>
      <c r="F99" s="307" t="s">
        <v>156</v>
      </c>
      <c r="G99" s="639"/>
      <c r="H99" s="307" t="s">
        <v>156</v>
      </c>
      <c r="I99" s="639"/>
      <c r="J99" s="307" t="s">
        <v>156</v>
      </c>
      <c r="K99" s="639"/>
      <c r="L99" s="307"/>
      <c r="M99" s="639"/>
      <c r="N99" s="307"/>
      <c r="O99" s="639"/>
      <c r="P99" s="199"/>
      <c r="Q99" s="639"/>
      <c r="R99" s="199"/>
      <c r="S99" s="639"/>
      <c r="T99" s="199"/>
      <c r="U99" s="639"/>
      <c r="V99" s="366"/>
      <c r="W99" s="843">
        <f t="shared" si="36"/>
        <v>0</v>
      </c>
      <c r="X99" s="367"/>
      <c r="Y99" s="368"/>
      <c r="Z99" s="845"/>
      <c r="AB99" s="365"/>
    </row>
    <row r="100" spans="1:28" s="364" customFormat="1" x14ac:dyDescent="0.25">
      <c r="A100" s="369"/>
      <c r="B100" s="369"/>
      <c r="C100" s="794" t="s">
        <v>288</v>
      </c>
      <c r="D100" s="794" t="str">
        <f>'[1]2.8 PPPA'!D7</f>
        <v>Jumlah Perangkat Daerah yang Mengikuti Advokasi Kebijakan dan Pendampingan Pelaksanaan Pengarustamaan Gender (PUG) Termasuk Perencaan Pembangunan Responsif Gender (PPRG) Kewenangan Kabupaten/Kota</v>
      </c>
      <c r="E100" s="237">
        <v>46</v>
      </c>
      <c r="F100" s="853" t="s">
        <v>289</v>
      </c>
      <c r="G100" s="622">
        <v>200000000</v>
      </c>
      <c r="H100" s="237">
        <v>15</v>
      </c>
      <c r="I100" s="622">
        <v>0</v>
      </c>
      <c r="J100" s="237">
        <v>15</v>
      </c>
      <c r="K100" s="622">
        <v>37920000</v>
      </c>
      <c r="L100" s="237">
        <v>2</v>
      </c>
      <c r="M100" s="622">
        <f>4500000</f>
        <v>4500000</v>
      </c>
      <c r="N100" s="237">
        <v>8</v>
      </c>
      <c r="O100" s="622">
        <f>24865000-M100</f>
        <v>20365000</v>
      </c>
      <c r="P100" s="198">
        <v>3</v>
      </c>
      <c r="Q100" s="622">
        <f>30865000-O100-M100</f>
        <v>6000000</v>
      </c>
      <c r="R100" s="215">
        <v>2</v>
      </c>
      <c r="S100" s="219">
        <f>36485000-Q100-O100-M100</f>
        <v>5620000</v>
      </c>
      <c r="T100" s="662">
        <f>R100+P100+N100+L100</f>
        <v>15</v>
      </c>
      <c r="U100" s="622">
        <f>M100+O100+Q100+S100</f>
        <v>36485000</v>
      </c>
      <c r="V100" s="361">
        <f t="shared" si="38"/>
        <v>30</v>
      </c>
      <c r="W100" s="843">
        <f t="shared" si="36"/>
        <v>36485000</v>
      </c>
      <c r="X100" s="362">
        <f>V100/E100*100</f>
        <v>65.217391304347828</v>
      </c>
      <c r="Y100" s="363">
        <f>W100/G100*100</f>
        <v>18.2425</v>
      </c>
      <c r="Z100" s="855" t="s">
        <v>283</v>
      </c>
      <c r="AB100" s="365"/>
    </row>
    <row r="101" spans="1:28" s="364" customFormat="1" ht="98.25" customHeight="1" x14ac:dyDescent="0.25">
      <c r="A101" s="250"/>
      <c r="B101" s="250"/>
      <c r="C101" s="795"/>
      <c r="D101" s="795"/>
      <c r="E101" s="307"/>
      <c r="F101" s="854"/>
      <c r="G101" s="623"/>
      <c r="H101" s="307" t="s">
        <v>289</v>
      </c>
      <c r="I101" s="623"/>
      <c r="J101" s="307" t="s">
        <v>289</v>
      </c>
      <c r="K101" s="623"/>
      <c r="L101" s="307" t="s">
        <v>289</v>
      </c>
      <c r="M101" s="623"/>
      <c r="N101" s="307" t="s">
        <v>289</v>
      </c>
      <c r="O101" s="623"/>
      <c r="P101" s="307" t="s">
        <v>289</v>
      </c>
      <c r="Q101" s="623"/>
      <c r="R101" s="307" t="s">
        <v>289</v>
      </c>
      <c r="S101" s="239"/>
      <c r="T101" s="307" t="s">
        <v>289</v>
      </c>
      <c r="U101" s="623"/>
      <c r="V101" s="366"/>
      <c r="W101" s="843">
        <f t="shared" si="36"/>
        <v>0</v>
      </c>
      <c r="X101" s="367"/>
      <c r="Y101" s="368"/>
      <c r="Z101" s="852"/>
      <c r="AB101" s="365"/>
    </row>
    <row r="102" spans="1:28" s="364" customFormat="1" ht="27.75" hidden="1" customHeight="1" x14ac:dyDescent="0.25">
      <c r="A102" s="250"/>
      <c r="B102" s="250"/>
      <c r="C102" s="818" t="s">
        <v>290</v>
      </c>
      <c r="D102" s="818" t="s">
        <v>483</v>
      </c>
      <c r="E102" s="312">
        <v>180</v>
      </c>
      <c r="F102" s="312"/>
      <c r="G102" s="317">
        <v>364960608</v>
      </c>
      <c r="H102" s="312">
        <v>30</v>
      </c>
      <c r="I102" s="317">
        <v>65535000</v>
      </c>
      <c r="J102" s="312">
        <v>30</v>
      </c>
      <c r="K102" s="317">
        <v>0</v>
      </c>
      <c r="L102" s="312"/>
      <c r="M102" s="317">
        <v>0</v>
      </c>
      <c r="N102" s="312"/>
      <c r="O102" s="317">
        <v>0</v>
      </c>
      <c r="P102" s="216"/>
      <c r="Q102" s="317">
        <v>0</v>
      </c>
      <c r="R102" s="216"/>
      <c r="S102" s="314">
        <v>0</v>
      </c>
      <c r="T102" s="662">
        <f>R102+P102+N102+L102</f>
        <v>0</v>
      </c>
      <c r="U102" s="317">
        <f>M102+O102+Q102+S102</f>
        <v>0</v>
      </c>
      <c r="V102" s="361">
        <f t="shared" si="38"/>
        <v>30</v>
      </c>
      <c r="W102" s="843">
        <f t="shared" si="36"/>
        <v>65535000</v>
      </c>
      <c r="X102" s="362">
        <f t="shared" si="39"/>
        <v>0.16666666666666666</v>
      </c>
      <c r="Y102" s="363">
        <f t="shared" si="40"/>
        <v>0.17956732470151957</v>
      </c>
      <c r="Z102" s="855" t="s">
        <v>283</v>
      </c>
      <c r="AB102" s="365"/>
    </row>
    <row r="103" spans="1:28" s="364" customFormat="1" ht="79.5" hidden="1" customHeight="1" x14ac:dyDescent="0.25">
      <c r="A103" s="250"/>
      <c r="B103" s="250"/>
      <c r="C103" s="819"/>
      <c r="D103" s="819"/>
      <c r="F103" s="312" t="s">
        <v>289</v>
      </c>
      <c r="G103" s="317"/>
      <c r="H103" s="312" t="s">
        <v>289</v>
      </c>
      <c r="I103" s="317"/>
      <c r="J103" s="312" t="s">
        <v>289</v>
      </c>
      <c r="K103" s="317"/>
      <c r="L103" s="312"/>
      <c r="M103" s="317"/>
      <c r="N103" s="312"/>
      <c r="O103" s="317"/>
      <c r="P103" s="216"/>
      <c r="Q103" s="317"/>
      <c r="R103" s="216"/>
      <c r="S103" s="314"/>
      <c r="T103" s="216"/>
      <c r="U103" s="317"/>
      <c r="V103" s="366"/>
      <c r="W103" s="843">
        <f t="shared" si="36"/>
        <v>0</v>
      </c>
      <c r="X103" s="362"/>
      <c r="Y103" s="363"/>
      <c r="Z103" s="852"/>
      <c r="AB103" s="365"/>
    </row>
    <row r="104" spans="1:28" s="155" customFormat="1" ht="15.75" customHeight="1" x14ac:dyDescent="0.25">
      <c r="A104" s="272"/>
      <c r="B104" s="272"/>
      <c r="C104" s="812" t="s">
        <v>291</v>
      </c>
      <c r="D104" s="812" t="s">
        <v>292</v>
      </c>
      <c r="E104" s="533">
        <v>1400</v>
      </c>
      <c r="F104" s="651"/>
      <c r="G104" s="534">
        <f>SUM(G106)</f>
        <v>2877897642</v>
      </c>
      <c r="H104" s="651">
        <v>200</v>
      </c>
      <c r="I104" s="534">
        <f>SUM(I106)</f>
        <v>666137300</v>
      </c>
      <c r="J104" s="651">
        <v>200</v>
      </c>
      <c r="K104" s="534">
        <f>SUM(K106)</f>
        <v>529469200</v>
      </c>
      <c r="L104" s="651">
        <v>50</v>
      </c>
      <c r="M104" s="534">
        <f>SUM(M106)</f>
        <v>92185200</v>
      </c>
      <c r="N104" s="651">
        <v>50</v>
      </c>
      <c r="O104" s="534">
        <f>SUM(O106)</f>
        <v>50950000</v>
      </c>
      <c r="P104" s="535">
        <v>50</v>
      </c>
      <c r="Q104" s="534">
        <f>SUM(Q106)</f>
        <v>129278835</v>
      </c>
      <c r="R104" s="495">
        <v>50</v>
      </c>
      <c r="S104" s="849">
        <f>SUM(S106)</f>
        <v>175601000</v>
      </c>
      <c r="T104" s="565">
        <f>R104+P104+N104+L104</f>
        <v>200</v>
      </c>
      <c r="U104" s="534">
        <f>M104+O104+Q104+S104</f>
        <v>448015035</v>
      </c>
      <c r="V104" s="495">
        <f>H104+T104</f>
        <v>400</v>
      </c>
      <c r="W104" s="534">
        <f>I104+U104</f>
        <v>1114152335</v>
      </c>
      <c r="X104" s="536">
        <f>V104/E104*100</f>
        <v>28.571428571428569</v>
      </c>
      <c r="Y104" s="536">
        <f>W104/G104*100</f>
        <v>38.714105697856503</v>
      </c>
      <c r="Z104" s="849" t="s">
        <v>283</v>
      </c>
      <c r="AB104" s="189"/>
    </row>
    <row r="105" spans="1:28" s="155" customFormat="1" ht="52.5" customHeight="1" x14ac:dyDescent="0.25">
      <c r="A105" s="272"/>
      <c r="B105" s="272"/>
      <c r="C105" s="825"/>
      <c r="D105" s="825"/>
      <c r="E105" s="670"/>
      <c r="F105" s="670" t="s">
        <v>239</v>
      </c>
      <c r="G105" s="537" t="s">
        <v>17</v>
      </c>
      <c r="H105" s="670" t="s">
        <v>238</v>
      </c>
      <c r="I105" s="537"/>
      <c r="J105" s="670" t="s">
        <v>238</v>
      </c>
      <c r="K105" s="537"/>
      <c r="L105" s="670" t="s">
        <v>238</v>
      </c>
      <c r="M105" s="537"/>
      <c r="N105" s="670" t="s">
        <v>238</v>
      </c>
      <c r="O105" s="537"/>
      <c r="P105" s="670" t="s">
        <v>238</v>
      </c>
      <c r="Q105" s="537"/>
      <c r="R105" s="670" t="s">
        <v>238</v>
      </c>
      <c r="S105" s="850"/>
      <c r="T105" s="670" t="s">
        <v>238</v>
      </c>
      <c r="U105" s="537"/>
      <c r="V105" s="538"/>
      <c r="W105" s="537"/>
      <c r="X105" s="529"/>
      <c r="Y105" s="532"/>
      <c r="Z105" s="850"/>
      <c r="AB105" s="189"/>
    </row>
    <row r="106" spans="1:28" s="364" customFormat="1" x14ac:dyDescent="0.25">
      <c r="A106" s="250"/>
      <c r="B106" s="250"/>
      <c r="C106" s="834" t="str">
        <f>'[1]2.8 PPPA'!B10</f>
        <v>Sosialisasi Peningkatan Partisipasi Perempuan di Bidang Politik, Hukum, Sosial dan Ekonomi</v>
      </c>
      <c r="D106" s="834" t="str">
        <f>'[1]2.8 PPPA'!D10</f>
        <v>Jumlah Dokumen Hasil Sosialisasi Peningkatan Partisipasi Perempuan di Bidang Politik, Hukum, Sosial dan Ekonomi Kewenangan Kabupaten/Kota</v>
      </c>
      <c r="E106" s="312">
        <v>24</v>
      </c>
      <c r="F106" s="312"/>
      <c r="G106" s="297">
        <v>2877897642</v>
      </c>
      <c r="H106" s="312">
        <v>4</v>
      </c>
      <c r="I106" s="297">
        <v>666137300</v>
      </c>
      <c r="J106" s="312">
        <v>4</v>
      </c>
      <c r="K106" s="297">
        <v>529469200</v>
      </c>
      <c r="L106" s="312">
        <v>1</v>
      </c>
      <c r="M106" s="297">
        <f>2825800+35420000+180000+270000+764400+4000000+24450000+300000+14025000+150000+3000000+6800000</f>
        <v>92185200</v>
      </c>
      <c r="N106" s="312">
        <v>1</v>
      </c>
      <c r="O106" s="297">
        <f>143135200-M106</f>
        <v>50950000</v>
      </c>
      <c r="P106" s="216">
        <v>1</v>
      </c>
      <c r="Q106" s="297">
        <f>272414035-O106-M106</f>
        <v>129278835</v>
      </c>
      <c r="R106" s="217">
        <v>2</v>
      </c>
      <c r="S106" s="287">
        <f>448015035-Q106-O106-M106</f>
        <v>175601000</v>
      </c>
      <c r="T106" s="662">
        <f>R106+P106+N106+L106</f>
        <v>5</v>
      </c>
      <c r="U106" s="297">
        <f>M106+O106+Q106+S106</f>
        <v>448015035</v>
      </c>
      <c r="V106" s="217">
        <f>H106+T106</f>
        <v>9</v>
      </c>
      <c r="W106" s="297">
        <f>SUM(I106+U106)</f>
        <v>1114152335</v>
      </c>
      <c r="X106" s="337">
        <f>V106/E106*100</f>
        <v>37.5</v>
      </c>
      <c r="Y106" s="337">
        <f>W106/G106*100</f>
        <v>38.714105697856503</v>
      </c>
      <c r="Z106" s="851" t="s">
        <v>283</v>
      </c>
      <c r="AB106" s="365"/>
    </row>
    <row r="107" spans="1:28" s="348" customFormat="1" ht="71.25" customHeight="1" x14ac:dyDescent="0.25">
      <c r="A107" s="250"/>
      <c r="B107" s="250"/>
      <c r="C107" s="795"/>
      <c r="D107" s="795"/>
      <c r="E107" s="307"/>
      <c r="F107" s="307" t="s">
        <v>156</v>
      </c>
      <c r="G107" s="206"/>
      <c r="H107" s="307" t="s">
        <v>156</v>
      </c>
      <c r="I107" s="206"/>
      <c r="J107" s="307" t="s">
        <v>156</v>
      </c>
      <c r="K107" s="206"/>
      <c r="L107" s="307" t="s">
        <v>156</v>
      </c>
      <c r="M107" s="206"/>
      <c r="N107" s="307" t="s">
        <v>156</v>
      </c>
      <c r="O107" s="206"/>
      <c r="P107" s="307" t="s">
        <v>156</v>
      </c>
      <c r="Q107" s="206"/>
      <c r="R107" s="307" t="s">
        <v>156</v>
      </c>
      <c r="S107" s="314"/>
      <c r="T107" s="199" t="s">
        <v>156</v>
      </c>
      <c r="U107" s="206"/>
      <c r="V107" s="199"/>
      <c r="W107" s="206"/>
      <c r="X107" s="239"/>
      <c r="Y107" s="370"/>
      <c r="Z107" s="852"/>
      <c r="AB107" s="349"/>
    </row>
    <row r="108" spans="1:28" s="131" customFormat="1" x14ac:dyDescent="0.25">
      <c r="A108" s="139"/>
      <c r="B108" s="139"/>
      <c r="C108" s="813" t="s">
        <v>293</v>
      </c>
      <c r="D108" s="813" t="s">
        <v>294</v>
      </c>
      <c r="E108" s="625">
        <v>30</v>
      </c>
      <c r="F108" s="625"/>
      <c r="G108" s="635">
        <f>SUM(G110)</f>
        <v>255433850</v>
      </c>
      <c r="H108" s="625">
        <v>10</v>
      </c>
      <c r="I108" s="635">
        <f>SUM(I110)</f>
        <v>39990000</v>
      </c>
      <c r="J108" s="625">
        <v>5</v>
      </c>
      <c r="K108" s="635">
        <f>SUM(K110)</f>
        <v>28250000</v>
      </c>
      <c r="L108" s="625">
        <v>2</v>
      </c>
      <c r="M108" s="635">
        <f>SUM(M110)</f>
        <v>1650000</v>
      </c>
      <c r="N108" s="625">
        <v>1</v>
      </c>
      <c r="O108" s="635">
        <f>SUM(O110)</f>
        <v>1100000</v>
      </c>
      <c r="P108" s="489">
        <v>1</v>
      </c>
      <c r="Q108" s="635">
        <f>SUM(Q110)</f>
        <v>17290000</v>
      </c>
      <c r="R108" s="539">
        <v>1</v>
      </c>
      <c r="S108" s="849">
        <f>SUM(S110)</f>
        <v>1650000</v>
      </c>
      <c r="T108" s="487">
        <f>R108+P108+N108+L108</f>
        <v>5</v>
      </c>
      <c r="U108" s="635">
        <f>M108+O108+Q108+S108</f>
        <v>21690000</v>
      </c>
      <c r="V108" s="539">
        <f>H108+T108</f>
        <v>15</v>
      </c>
      <c r="W108" s="635">
        <f>I108+U108</f>
        <v>61680000</v>
      </c>
      <c r="X108" s="536">
        <f>V108/E108*100</f>
        <v>50</v>
      </c>
      <c r="Y108" s="536">
        <f>W108/G108*100</f>
        <v>24.147151992580469</v>
      </c>
      <c r="Z108" s="842" t="s">
        <v>283</v>
      </c>
      <c r="AB108" s="125"/>
    </row>
    <row r="109" spans="1:28" s="131" customFormat="1" ht="51.75" customHeight="1" x14ac:dyDescent="0.25">
      <c r="A109" s="139"/>
      <c r="B109" s="139"/>
      <c r="C109" s="825"/>
      <c r="D109" s="825"/>
      <c r="E109" s="627"/>
      <c r="F109" s="627" t="s">
        <v>295</v>
      </c>
      <c r="G109" s="643"/>
      <c r="H109" s="627" t="s">
        <v>295</v>
      </c>
      <c r="I109" s="643"/>
      <c r="J109" s="627" t="s">
        <v>295</v>
      </c>
      <c r="K109" s="643"/>
      <c r="L109" s="627" t="s">
        <v>295</v>
      </c>
      <c r="M109" s="643"/>
      <c r="N109" s="627" t="s">
        <v>295</v>
      </c>
      <c r="O109" s="643"/>
      <c r="P109" s="627" t="s">
        <v>295</v>
      </c>
      <c r="Q109" s="643"/>
      <c r="R109" s="627" t="s">
        <v>295</v>
      </c>
      <c r="S109" s="850"/>
      <c r="T109" s="627" t="s">
        <v>295</v>
      </c>
      <c r="U109" s="643"/>
      <c r="V109" s="500"/>
      <c r="W109" s="643"/>
      <c r="X109" s="634"/>
      <c r="Y109" s="540"/>
      <c r="Z109" s="858"/>
      <c r="AB109" s="125"/>
    </row>
    <row r="110" spans="1:28" s="348" customFormat="1" x14ac:dyDescent="0.25">
      <c r="A110" s="250"/>
      <c r="B110" s="250"/>
      <c r="C110" s="794" t="str">
        <f>'[1]2.8 PPPA'!B13</f>
        <v>Advokasi Kebijakan dan Pendampingan kepada Lembaga Penyedia Layanan Pemberdayaan Perempuan Kewenangan Kabupaten/Kota</v>
      </c>
      <c r="D110" s="794" t="str">
        <f>'[1]2.8 PPPA'!D13</f>
        <v>Jumlah Lembaga Penyedia Layanan Pemberdayaan Perempuan Kewenangan Kabupaten/Kota yang Mendapat Advokasi dan Pendampingan</v>
      </c>
      <c r="E110" s="237">
        <v>50</v>
      </c>
      <c r="F110" s="237"/>
      <c r="G110" s="205">
        <v>255433850</v>
      </c>
      <c r="H110" s="237">
        <v>5</v>
      </c>
      <c r="I110" s="205">
        <v>39990000</v>
      </c>
      <c r="J110" s="237">
        <v>5</v>
      </c>
      <c r="K110" s="205">
        <v>28250000</v>
      </c>
      <c r="L110" s="237">
        <v>2</v>
      </c>
      <c r="M110" s="205">
        <v>1650000</v>
      </c>
      <c r="N110" s="237">
        <v>1</v>
      </c>
      <c r="O110" s="205">
        <f>2750000-M110</f>
        <v>1100000</v>
      </c>
      <c r="P110" s="198">
        <v>1</v>
      </c>
      <c r="Q110" s="205">
        <f>20040000-O110-M110</f>
        <v>17290000</v>
      </c>
      <c r="R110" s="215">
        <v>1</v>
      </c>
      <c r="S110" s="287">
        <f>21690000-Q110-O110-M110</f>
        <v>1650000</v>
      </c>
      <c r="T110" s="662">
        <f>R110+P110+N110+L110</f>
        <v>5</v>
      </c>
      <c r="U110" s="205">
        <f>M110+O110+Q110+S110</f>
        <v>21690000</v>
      </c>
      <c r="V110" s="371">
        <f t="shared" ref="V110" si="41">H110+T110</f>
        <v>10</v>
      </c>
      <c r="W110" s="205">
        <f>SUM(I110+U110)</f>
        <v>61680000</v>
      </c>
      <c r="X110" s="337">
        <f>V110/E110*100</f>
        <v>20</v>
      </c>
      <c r="Y110" s="337">
        <f>W110/G110*100</f>
        <v>24.147151992580469</v>
      </c>
      <c r="Z110" s="855" t="s">
        <v>283</v>
      </c>
      <c r="AB110" s="349"/>
    </row>
    <row r="111" spans="1:28" s="348" customFormat="1" ht="69.75" customHeight="1" thickBot="1" x14ac:dyDescent="0.3">
      <c r="A111" s="250"/>
      <c r="B111" s="250"/>
      <c r="C111" s="834"/>
      <c r="D111" s="834"/>
      <c r="E111" s="312"/>
      <c r="F111" s="312" t="s">
        <v>296</v>
      </c>
      <c r="G111" s="297" t="s">
        <v>17</v>
      </c>
      <c r="H111" s="312" t="s">
        <v>296</v>
      </c>
      <c r="I111" s="297"/>
      <c r="J111" s="312" t="s">
        <v>296</v>
      </c>
      <c r="K111" s="297"/>
      <c r="L111" s="312" t="s">
        <v>296</v>
      </c>
      <c r="M111" s="297"/>
      <c r="N111" s="312" t="s">
        <v>296</v>
      </c>
      <c r="O111" s="297"/>
      <c r="P111" s="312" t="s">
        <v>296</v>
      </c>
      <c r="Q111" s="297"/>
      <c r="R111" s="312" t="s">
        <v>296</v>
      </c>
      <c r="S111" s="314"/>
      <c r="T111" s="216" t="s">
        <v>296</v>
      </c>
      <c r="U111" s="297"/>
      <c r="V111" s="216"/>
      <c r="W111" s="297"/>
      <c r="X111" s="314"/>
      <c r="Y111" s="372"/>
      <c r="Z111" s="851"/>
      <c r="AB111" s="349"/>
    </row>
    <row r="112" spans="1:28" s="142" customFormat="1" ht="48.75" customHeight="1" thickBot="1" x14ac:dyDescent="0.3">
      <c r="A112" s="135"/>
      <c r="B112" s="135"/>
      <c r="C112" s="136" t="s">
        <v>297</v>
      </c>
      <c r="D112" s="136" t="s">
        <v>298</v>
      </c>
      <c r="E112" s="140">
        <v>1</v>
      </c>
      <c r="F112" s="140" t="s">
        <v>237</v>
      </c>
      <c r="G112" s="141">
        <f>+G113+G119+G143</f>
        <v>1127429750</v>
      </c>
      <c r="H112" s="140">
        <v>1</v>
      </c>
      <c r="I112" s="141">
        <f>+I113+I119+I143</f>
        <v>107558000</v>
      </c>
      <c r="J112" s="140">
        <v>1</v>
      </c>
      <c r="K112" s="141">
        <f>K113+K119+K143</f>
        <v>468231200</v>
      </c>
      <c r="L112" s="140">
        <v>0.25</v>
      </c>
      <c r="M112" s="141">
        <f>M113+M119+M143</f>
        <v>6300000</v>
      </c>
      <c r="N112" s="140">
        <v>0.25</v>
      </c>
      <c r="O112" s="141">
        <f>O113+O119+O143</f>
        <v>78610000</v>
      </c>
      <c r="P112" s="171">
        <v>0.25</v>
      </c>
      <c r="Q112" s="141">
        <f>Q113+Q119+Q143</f>
        <v>57702251</v>
      </c>
      <c r="R112" s="171">
        <v>0.25</v>
      </c>
      <c r="S112" s="257">
        <f>S113+S119+S143</f>
        <v>211746200</v>
      </c>
      <c r="T112" s="171">
        <f>R112+P112+N112+L112</f>
        <v>1</v>
      </c>
      <c r="U112" s="141">
        <f>M112+O112+Q112+S112</f>
        <v>354358451</v>
      </c>
      <c r="V112" s="171">
        <f>H112+T112</f>
        <v>2</v>
      </c>
      <c r="W112" s="141">
        <f>I112+U112</f>
        <v>461916451</v>
      </c>
      <c r="X112" s="179">
        <f>V112/E112*100</f>
        <v>200</v>
      </c>
      <c r="Y112" s="179">
        <f>W112/G112*100</f>
        <v>40.970752368384815</v>
      </c>
      <c r="Z112" s="137" t="s">
        <v>283</v>
      </c>
      <c r="AB112" s="126"/>
    </row>
    <row r="113" spans="1:28" s="131" customFormat="1" x14ac:dyDescent="0.25">
      <c r="A113" s="261"/>
      <c r="B113" s="261"/>
      <c r="C113" s="856" t="s">
        <v>348</v>
      </c>
      <c r="D113" s="856" t="s">
        <v>349</v>
      </c>
      <c r="E113" s="541">
        <v>1</v>
      </c>
      <c r="F113" s="628"/>
      <c r="G113" s="542">
        <f>SUM(G115:G118)</f>
        <v>27429750</v>
      </c>
      <c r="H113" s="542"/>
      <c r="I113" s="542">
        <f>SUM(I115:I118)</f>
        <v>0</v>
      </c>
      <c r="J113" s="542">
        <v>2</v>
      </c>
      <c r="K113" s="542">
        <f>SUM(K115:K118)</f>
        <v>115500000</v>
      </c>
      <c r="L113" s="542">
        <v>0</v>
      </c>
      <c r="M113" s="542">
        <f>SUM(M115:M118)</f>
        <v>0</v>
      </c>
      <c r="N113" s="542">
        <v>0</v>
      </c>
      <c r="O113" s="542">
        <f>SUM(O115:O118)</f>
        <v>0</v>
      </c>
      <c r="P113" s="543">
        <v>1</v>
      </c>
      <c r="Q113" s="542">
        <f>SUM(Q115:Q118)</f>
        <v>7400000</v>
      </c>
      <c r="R113" s="543">
        <v>1</v>
      </c>
      <c r="S113" s="634">
        <f>SUM(S115:S118)</f>
        <v>97280000</v>
      </c>
      <c r="T113" s="543">
        <f>R113+P113+N113+L113</f>
        <v>2</v>
      </c>
      <c r="U113" s="542">
        <f>M113+O113+Q113+S113</f>
        <v>104680000</v>
      </c>
      <c r="V113" s="543">
        <f>H113+T113</f>
        <v>2</v>
      </c>
      <c r="W113" s="542">
        <f>I113+U113</f>
        <v>104680000</v>
      </c>
      <c r="X113" s="544">
        <f>V113/E113*100</f>
        <v>200</v>
      </c>
      <c r="Y113" s="544">
        <f>W113/G113*100</f>
        <v>381.62943519353985</v>
      </c>
      <c r="Z113" s="841" t="s">
        <v>283</v>
      </c>
      <c r="AB113" s="125"/>
    </row>
    <row r="114" spans="1:28" s="131" customFormat="1" ht="31.5" customHeight="1" x14ac:dyDescent="0.25">
      <c r="A114" s="261"/>
      <c r="B114" s="261"/>
      <c r="C114" s="825"/>
      <c r="D114" s="825"/>
      <c r="E114" s="545"/>
      <c r="F114" s="627"/>
      <c r="G114" s="546"/>
      <c r="H114" s="546"/>
      <c r="I114" s="546"/>
      <c r="J114" s="546" t="s">
        <v>373</v>
      </c>
      <c r="K114" s="546"/>
      <c r="L114" s="546" t="s">
        <v>373</v>
      </c>
      <c r="M114" s="546"/>
      <c r="N114" s="546" t="s">
        <v>373</v>
      </c>
      <c r="O114" s="546"/>
      <c r="P114" s="546" t="s">
        <v>373</v>
      </c>
      <c r="Q114" s="546"/>
      <c r="R114" s="546" t="s">
        <v>373</v>
      </c>
      <c r="S114" s="546"/>
      <c r="T114" s="546" t="s">
        <v>373</v>
      </c>
      <c r="U114" s="546"/>
      <c r="V114" s="547"/>
      <c r="W114" s="546"/>
      <c r="X114" s="532"/>
      <c r="Y114" s="532"/>
      <c r="Z114" s="842"/>
      <c r="AB114" s="125"/>
    </row>
    <row r="115" spans="1:28" s="348" customFormat="1" ht="31.5" hidden="1" customHeight="1" x14ac:dyDescent="0.25">
      <c r="A115" s="330"/>
      <c r="B115" s="330"/>
      <c r="C115" s="818" t="s">
        <v>484</v>
      </c>
      <c r="D115" s="818" t="s">
        <v>485</v>
      </c>
      <c r="E115" s="640">
        <v>1</v>
      </c>
      <c r="F115" s="237"/>
      <c r="G115" s="207">
        <v>0</v>
      </c>
      <c r="H115" s="207"/>
      <c r="I115" s="207">
        <v>0</v>
      </c>
      <c r="J115" s="207"/>
      <c r="K115" s="207">
        <v>0</v>
      </c>
      <c r="L115" s="207"/>
      <c r="M115" s="207">
        <v>0</v>
      </c>
      <c r="N115" s="207"/>
      <c r="O115" s="207">
        <v>0</v>
      </c>
      <c r="P115" s="222"/>
      <c r="Q115" s="207"/>
      <c r="R115" s="222"/>
      <c r="S115" s="207"/>
      <c r="T115" s="662">
        <f>R115+P115+N115+L115</f>
        <v>0</v>
      </c>
      <c r="U115" s="207">
        <f>M115+O115+Q115+S115</f>
        <v>0</v>
      </c>
      <c r="V115" s="373">
        <f t="shared" ref="V115:W117" si="42">H115+T115</f>
        <v>0</v>
      </c>
      <c r="W115" s="374">
        <f t="shared" si="42"/>
        <v>0</v>
      </c>
      <c r="X115" s="363">
        <f t="shared" ref="X115" si="43">V115/E115*100%</f>
        <v>0</v>
      </c>
      <c r="Y115" s="363">
        <v>0</v>
      </c>
      <c r="Z115" s="857" t="s">
        <v>283</v>
      </c>
      <c r="AB115" s="349"/>
    </row>
    <row r="116" spans="1:28" s="348" customFormat="1" ht="39" hidden="1" customHeight="1" x14ac:dyDescent="0.25">
      <c r="A116" s="330"/>
      <c r="B116" s="330"/>
      <c r="C116" s="819"/>
      <c r="D116" s="819"/>
      <c r="E116" s="641"/>
      <c r="F116" s="307"/>
      <c r="G116" s="220"/>
      <c r="H116" s="220"/>
      <c r="I116" s="220"/>
      <c r="J116" s="220"/>
      <c r="K116" s="220"/>
      <c r="L116" s="220"/>
      <c r="M116" s="220"/>
      <c r="N116" s="220"/>
      <c r="O116" s="220"/>
      <c r="P116" s="221"/>
      <c r="Q116" s="220"/>
      <c r="R116" s="221"/>
      <c r="S116" s="220"/>
      <c r="T116" s="221"/>
      <c r="U116" s="220"/>
      <c r="V116" s="375"/>
      <c r="W116" s="376"/>
      <c r="X116" s="368"/>
      <c r="Y116" s="368"/>
      <c r="Z116" s="857"/>
      <c r="AB116" s="349"/>
    </row>
    <row r="117" spans="1:28" s="339" customFormat="1" x14ac:dyDescent="0.25">
      <c r="A117" s="258"/>
      <c r="B117" s="258"/>
      <c r="C117" s="818" t="s">
        <v>429</v>
      </c>
      <c r="D117" s="818" t="s">
        <v>430</v>
      </c>
      <c r="E117" s="650">
        <v>2</v>
      </c>
      <c r="F117" s="312"/>
      <c r="G117" s="207">
        <v>27429750</v>
      </c>
      <c r="H117" s="374"/>
      <c r="I117" s="374">
        <v>0</v>
      </c>
      <c r="J117" s="213">
        <v>2</v>
      </c>
      <c r="K117" s="213">
        <v>115500000</v>
      </c>
      <c r="L117" s="213"/>
      <c r="M117" s="213">
        <v>0</v>
      </c>
      <c r="N117" s="213"/>
      <c r="O117" s="213">
        <v>0</v>
      </c>
      <c r="P117" s="243">
        <v>1</v>
      </c>
      <c r="Q117" s="213">
        <f>7400000-O117-M117</f>
        <v>7400000</v>
      </c>
      <c r="R117" s="243">
        <v>1</v>
      </c>
      <c r="S117" s="213">
        <f>104680000-Q117-O117-M117</f>
        <v>97280000</v>
      </c>
      <c r="T117" s="662">
        <f>R117+P117+N117+L117</f>
        <v>2</v>
      </c>
      <c r="U117" s="213">
        <f>M117+O117+Q117+S117</f>
        <v>104680000</v>
      </c>
      <c r="V117" s="373">
        <f t="shared" ref="V117" si="44">H117+T117</f>
        <v>2</v>
      </c>
      <c r="W117" s="374">
        <f t="shared" si="42"/>
        <v>104680000</v>
      </c>
      <c r="X117" s="363">
        <f>V117/E117*100</f>
        <v>100</v>
      </c>
      <c r="Y117" s="363">
        <f>W117/G117*100</f>
        <v>381.62943519353985</v>
      </c>
      <c r="Z117" s="857" t="s">
        <v>283</v>
      </c>
      <c r="AB117" s="355"/>
    </row>
    <row r="118" spans="1:28" s="339" customFormat="1" ht="67.5" customHeight="1" x14ac:dyDescent="0.25">
      <c r="A118" s="258"/>
      <c r="B118" s="258"/>
      <c r="C118" s="819"/>
      <c r="D118" s="823"/>
      <c r="E118" s="650"/>
      <c r="F118" s="312" t="s">
        <v>156</v>
      </c>
      <c r="G118" s="374"/>
      <c r="H118" s="374"/>
      <c r="I118" s="374"/>
      <c r="J118" s="213" t="s">
        <v>156</v>
      </c>
      <c r="K118" s="213"/>
      <c r="L118" s="213" t="s">
        <v>156</v>
      </c>
      <c r="M118" s="213"/>
      <c r="N118" s="213" t="s">
        <v>156</v>
      </c>
      <c r="O118" s="213"/>
      <c r="P118" s="213" t="s">
        <v>156</v>
      </c>
      <c r="Q118" s="374"/>
      <c r="R118" s="374" t="s">
        <v>156</v>
      </c>
      <c r="S118" s="374"/>
      <c r="T118" s="376" t="s">
        <v>156</v>
      </c>
      <c r="U118" s="374"/>
      <c r="V118" s="375"/>
      <c r="W118" s="374"/>
      <c r="X118" s="368"/>
      <c r="Y118" s="368"/>
      <c r="Z118" s="857"/>
      <c r="AB118" s="355"/>
    </row>
    <row r="119" spans="1:28" s="131" customFormat="1" x14ac:dyDescent="0.25">
      <c r="A119" s="270"/>
      <c r="B119" s="270"/>
      <c r="C119" s="812" t="str">
        <f>'[1]2.8 PPPA'!B20</f>
        <v>Penyediaan Layanan Rujukan Lanjutan bagi Perempuan Korban Kekerasan yang Memerlukan Koordinasi Kewenangan Kabupaten/Kota</v>
      </c>
      <c r="D119" s="812" t="s">
        <v>349</v>
      </c>
      <c r="E119" s="480">
        <v>1</v>
      </c>
      <c r="F119" s="631"/>
      <c r="G119" s="548">
        <f>SUM(G121:G124)</f>
        <v>350000000</v>
      </c>
      <c r="H119" s="549">
        <v>5</v>
      </c>
      <c r="I119" s="830">
        <f>SUM(I121:I124)</f>
        <v>107558000</v>
      </c>
      <c r="J119" s="549">
        <v>5</v>
      </c>
      <c r="K119" s="830">
        <f>SUM(K121:K124)</f>
        <v>268360000</v>
      </c>
      <c r="L119" s="549">
        <v>1</v>
      </c>
      <c r="M119" s="548">
        <f>SUM(M121:M124)</f>
        <v>6300000</v>
      </c>
      <c r="N119" s="549">
        <v>2</v>
      </c>
      <c r="O119" s="548">
        <f>SUM(O121:O124)</f>
        <v>78610000</v>
      </c>
      <c r="P119" s="523">
        <v>1</v>
      </c>
      <c r="Q119" s="548">
        <f>SUM(Q121:Q124)</f>
        <v>37323900</v>
      </c>
      <c r="R119" s="550">
        <v>1</v>
      </c>
      <c r="S119" s="636">
        <f>SUM(S121:S124)</f>
        <v>49885000</v>
      </c>
      <c r="T119" s="543">
        <f>R119+P119+N119+L119</f>
        <v>5</v>
      </c>
      <c r="U119" s="548">
        <f>M119+O119+Q119+S119</f>
        <v>172118900</v>
      </c>
      <c r="V119" s="550">
        <f>H119+T119</f>
        <v>10</v>
      </c>
      <c r="W119" s="548">
        <f>I119+U119</f>
        <v>279676900</v>
      </c>
      <c r="X119" s="551">
        <f>V119/E119*100</f>
        <v>1000</v>
      </c>
      <c r="Y119" s="551">
        <f>W119/G119*100</f>
        <v>79.907685714285719</v>
      </c>
      <c r="Z119" s="860" t="s">
        <v>283</v>
      </c>
      <c r="AA119" s="260"/>
      <c r="AB119" s="125"/>
    </row>
    <row r="120" spans="1:28" s="131" customFormat="1" ht="57.75" customHeight="1" x14ac:dyDescent="0.25">
      <c r="A120" s="270"/>
      <c r="B120" s="270"/>
      <c r="C120" s="825"/>
      <c r="D120" s="825"/>
      <c r="E120" s="627"/>
      <c r="F120" s="627" t="s">
        <v>248</v>
      </c>
      <c r="G120" s="630"/>
      <c r="H120" s="627" t="s">
        <v>401</v>
      </c>
      <c r="I120" s="829"/>
      <c r="J120" s="627" t="s">
        <v>248</v>
      </c>
      <c r="K120" s="829"/>
      <c r="L120" s="627" t="s">
        <v>248</v>
      </c>
      <c r="M120" s="630"/>
      <c r="N120" s="627" t="s">
        <v>248</v>
      </c>
      <c r="O120" s="630"/>
      <c r="P120" s="627" t="s">
        <v>248</v>
      </c>
      <c r="Q120" s="630"/>
      <c r="R120" s="627" t="s">
        <v>248</v>
      </c>
      <c r="S120" s="546"/>
      <c r="T120" s="627" t="s">
        <v>248</v>
      </c>
      <c r="U120" s="630"/>
      <c r="V120" s="507"/>
      <c r="W120" s="630"/>
      <c r="X120" s="546"/>
      <c r="Y120" s="552"/>
      <c r="Z120" s="858"/>
      <c r="AB120" s="125"/>
    </row>
    <row r="121" spans="1:28" s="348" customFormat="1" x14ac:dyDescent="0.25">
      <c r="A121" s="344"/>
      <c r="B121" s="344"/>
      <c r="C121" s="794" t="str">
        <f>'[1]2.8 PPPA'!B21</f>
        <v>Penyediaan Layanan Pengaduan Masyarakat bagi Perempuan Korban Kekerasan Kewenangan Kabupaten/Kota</v>
      </c>
      <c r="D121" s="794" t="str">
        <f>'[1]2.8 PPPA'!D21</f>
        <v>Jumlah Perempuan Korban Kekerasan Tingkat Kabupaten/ Kota yang Mendapatkan Layanan Pengaduan</v>
      </c>
      <c r="E121" s="377">
        <v>150</v>
      </c>
      <c r="F121" s="622"/>
      <c r="G121" s="207">
        <v>350000000</v>
      </c>
      <c r="H121" s="640">
        <v>30</v>
      </c>
      <c r="I121" s="207">
        <v>107558000</v>
      </c>
      <c r="J121" s="640">
        <v>30</v>
      </c>
      <c r="K121" s="207">
        <f>10300000+30000000+18000000+11700000</f>
        <v>70000000</v>
      </c>
      <c r="L121" s="640">
        <v>4</v>
      </c>
      <c r="M121" s="207">
        <f>4500000+1800000</f>
        <v>6300000</v>
      </c>
      <c r="N121" s="640">
        <v>7</v>
      </c>
      <c r="O121" s="207">
        <f>1640000+10000000+7500000+2600000-M121</f>
        <v>15440000</v>
      </c>
      <c r="P121" s="378">
        <v>9</v>
      </c>
      <c r="Q121" s="207">
        <f>42595000-O121-M121</f>
        <v>20855000</v>
      </c>
      <c r="R121" s="215">
        <v>10</v>
      </c>
      <c r="S121" s="207">
        <f>64240000-Q121-O121-M121</f>
        <v>21645000</v>
      </c>
      <c r="T121" s="662">
        <f>R121+P121+N121+L121</f>
        <v>30</v>
      </c>
      <c r="U121" s="207">
        <f>M121+O121+Q121+S121</f>
        <v>64240000</v>
      </c>
      <c r="V121" s="215">
        <f>H121+T121</f>
        <v>60</v>
      </c>
      <c r="W121" s="207">
        <f>SUM(I121+U121)</f>
        <v>171798000</v>
      </c>
      <c r="X121" s="322">
        <f>V121/E121*100</f>
        <v>40</v>
      </c>
      <c r="Y121" s="322">
        <f>W121/G121*100</f>
        <v>49.085142857142856</v>
      </c>
      <c r="Z121" s="855" t="s">
        <v>283</v>
      </c>
      <c r="AB121" s="349"/>
    </row>
    <row r="122" spans="1:28" s="348" customFormat="1" ht="43.8" customHeight="1" x14ac:dyDescent="0.25">
      <c r="A122" s="344"/>
      <c r="B122" s="344"/>
      <c r="C122" s="834"/>
      <c r="D122" s="834"/>
      <c r="E122" s="312"/>
      <c r="F122" s="312" t="s">
        <v>239</v>
      </c>
      <c r="G122" s="213"/>
      <c r="H122" s="312" t="s">
        <v>239</v>
      </c>
      <c r="I122" s="213"/>
      <c r="J122" s="312" t="s">
        <v>239</v>
      </c>
      <c r="K122" s="213"/>
      <c r="L122" s="312" t="s">
        <v>239</v>
      </c>
      <c r="M122" s="213"/>
      <c r="N122" s="312" t="s">
        <v>239</v>
      </c>
      <c r="O122" s="213"/>
      <c r="P122" s="312" t="s">
        <v>239</v>
      </c>
      <c r="Q122" s="213"/>
      <c r="R122" s="312" t="s">
        <v>239</v>
      </c>
      <c r="S122" s="213"/>
      <c r="T122" s="312" t="s">
        <v>239</v>
      </c>
      <c r="U122" s="213"/>
      <c r="V122" s="216"/>
      <c r="W122" s="220"/>
      <c r="X122" s="213"/>
      <c r="Y122" s="327"/>
      <c r="Z122" s="851"/>
      <c r="AB122" s="349"/>
    </row>
    <row r="123" spans="1:28" s="325" customFormat="1" ht="14.25" customHeight="1" x14ac:dyDescent="0.25">
      <c r="A123" s="379"/>
      <c r="B123" s="379"/>
      <c r="C123" s="818" t="s">
        <v>431</v>
      </c>
      <c r="D123" s="859" t="s">
        <v>432</v>
      </c>
      <c r="E123" s="237">
        <v>1</v>
      </c>
      <c r="F123" s="237"/>
      <c r="G123" s="207">
        <v>0</v>
      </c>
      <c r="H123" s="237"/>
      <c r="I123" s="207"/>
      <c r="J123" s="237">
        <v>8</v>
      </c>
      <c r="K123" s="207">
        <v>198360000</v>
      </c>
      <c r="L123" s="237"/>
      <c r="M123" s="207">
        <v>0</v>
      </c>
      <c r="N123" s="237">
        <v>5</v>
      </c>
      <c r="O123" s="207">
        <f>750000+7988000+376000+9078000+2000000+610000+8700000+2200000+30000000+1468000-M123</f>
        <v>63170000</v>
      </c>
      <c r="P123" s="198">
        <v>1</v>
      </c>
      <c r="Q123" s="207">
        <f>79638900-O123-M123</f>
        <v>16468900</v>
      </c>
      <c r="R123" s="198">
        <v>2</v>
      </c>
      <c r="S123" s="207">
        <f>107878900-Q123-O123-M123</f>
        <v>28240000</v>
      </c>
      <c r="T123" s="662">
        <f>R123+P123+N123+L123</f>
        <v>8</v>
      </c>
      <c r="U123" s="207">
        <f>M123+O123+Q123+S123</f>
        <v>107878900</v>
      </c>
      <c r="V123" s="198">
        <f>H121+T123</f>
        <v>38</v>
      </c>
      <c r="W123" s="207">
        <f>I123+U123</f>
        <v>107878900</v>
      </c>
      <c r="X123" s="207">
        <f>V123/E123*100</f>
        <v>3800</v>
      </c>
      <c r="Y123" s="322">
        <f>G123/W123*100</f>
        <v>0</v>
      </c>
      <c r="Z123" s="855" t="s">
        <v>283</v>
      </c>
      <c r="AB123" s="324"/>
    </row>
    <row r="124" spans="1:28" s="325" customFormat="1" ht="60" customHeight="1" x14ac:dyDescent="0.25">
      <c r="A124" s="379"/>
      <c r="B124" s="379"/>
      <c r="C124" s="820"/>
      <c r="D124" s="957"/>
      <c r="E124" s="312"/>
      <c r="F124" s="312"/>
      <c r="G124" s="213"/>
      <c r="H124" s="312"/>
      <c r="I124" s="213"/>
      <c r="J124" s="312" t="s">
        <v>299</v>
      </c>
      <c r="K124" s="213"/>
      <c r="L124" s="312" t="s">
        <v>299</v>
      </c>
      <c r="M124" s="213"/>
      <c r="N124" s="312" t="s">
        <v>299</v>
      </c>
      <c r="O124" s="213"/>
      <c r="P124" s="312" t="s">
        <v>299</v>
      </c>
      <c r="Q124" s="213"/>
      <c r="R124" s="312" t="s">
        <v>299</v>
      </c>
      <c r="S124" s="213"/>
      <c r="T124" s="312" t="s">
        <v>299</v>
      </c>
      <c r="U124" s="213"/>
      <c r="V124" s="216"/>
      <c r="W124" s="213"/>
      <c r="X124" s="213"/>
      <c r="Y124" s="956"/>
      <c r="Z124" s="851"/>
      <c r="AB124" s="324"/>
    </row>
    <row r="125" spans="1:28" s="325" customFormat="1" x14ac:dyDescent="0.25">
      <c r="A125" s="958"/>
      <c r="B125" s="958"/>
      <c r="C125" s="959"/>
      <c r="D125" s="960"/>
      <c r="E125" s="942"/>
      <c r="F125" s="942"/>
      <c r="G125" s="943"/>
      <c r="H125" s="942"/>
      <c r="I125" s="943"/>
      <c r="J125" s="942"/>
      <c r="K125" s="943"/>
      <c r="L125" s="942"/>
      <c r="M125" s="943"/>
      <c r="N125" s="942"/>
      <c r="O125" s="943"/>
      <c r="P125" s="942"/>
      <c r="Q125" s="943"/>
      <c r="R125" s="942"/>
      <c r="S125" s="943"/>
      <c r="T125" s="942"/>
      <c r="U125" s="943"/>
      <c r="V125" s="961"/>
      <c r="W125" s="943"/>
      <c r="X125" s="943"/>
      <c r="Y125" s="962"/>
      <c r="Z125" s="963"/>
      <c r="AB125" s="324"/>
    </row>
    <row r="126" spans="1:28" s="325" customFormat="1" x14ac:dyDescent="0.25">
      <c r="A126" s="964"/>
      <c r="B126" s="964"/>
      <c r="C126" s="965"/>
      <c r="D126" s="966"/>
      <c r="E126" s="967"/>
      <c r="F126" s="967"/>
      <c r="G126" s="968"/>
      <c r="H126" s="967"/>
      <c r="I126" s="968"/>
      <c r="J126" s="967"/>
      <c r="K126" s="968"/>
      <c r="L126" s="967"/>
      <c r="M126" s="968"/>
      <c r="N126" s="967"/>
      <c r="O126" s="968"/>
      <c r="P126" s="967"/>
      <c r="Q126" s="968"/>
      <c r="R126" s="967"/>
      <c r="S126" s="968"/>
      <c r="T126" s="967"/>
      <c r="U126" s="968"/>
      <c r="V126" s="969"/>
      <c r="W126" s="968"/>
      <c r="X126" s="968"/>
      <c r="Y126" s="970"/>
      <c r="Z126" s="971"/>
      <c r="AB126" s="324"/>
    </row>
    <row r="127" spans="1:28" s="325" customFormat="1" x14ac:dyDescent="0.25">
      <c r="A127" s="964"/>
      <c r="B127" s="964"/>
      <c r="C127" s="965"/>
      <c r="D127" s="966"/>
      <c r="E127" s="967"/>
      <c r="F127" s="967"/>
      <c r="G127" s="968"/>
      <c r="H127" s="967"/>
      <c r="I127" s="968"/>
      <c r="J127" s="967"/>
      <c r="K127" s="968"/>
      <c r="L127" s="967"/>
      <c r="M127" s="968"/>
      <c r="N127" s="967"/>
      <c r="O127" s="968"/>
      <c r="P127" s="967"/>
      <c r="Q127" s="968"/>
      <c r="R127" s="967"/>
      <c r="S127" s="968"/>
      <c r="T127" s="967"/>
      <c r="U127" s="968"/>
      <c r="V127" s="969"/>
      <c r="W127" s="968"/>
      <c r="X127" s="968"/>
      <c r="Y127" s="970"/>
      <c r="Z127" s="971"/>
      <c r="AB127" s="324"/>
    </row>
    <row r="128" spans="1:28" s="325" customFormat="1" x14ac:dyDescent="0.25">
      <c r="A128" s="964"/>
      <c r="B128" s="964"/>
      <c r="C128" s="965"/>
      <c r="D128" s="966"/>
      <c r="E128" s="967"/>
      <c r="F128" s="967"/>
      <c r="G128" s="968"/>
      <c r="H128" s="967"/>
      <c r="I128" s="968"/>
      <c r="J128" s="967"/>
      <c r="K128" s="968"/>
      <c r="L128" s="967"/>
      <c r="M128" s="968"/>
      <c r="N128" s="967"/>
      <c r="O128" s="968"/>
      <c r="P128" s="967"/>
      <c r="Q128" s="968"/>
      <c r="R128" s="967"/>
      <c r="S128" s="968"/>
      <c r="T128" s="967"/>
      <c r="U128" s="968"/>
      <c r="V128" s="969"/>
      <c r="W128" s="968"/>
      <c r="X128" s="968"/>
      <c r="Y128" s="970"/>
      <c r="Z128" s="971"/>
      <c r="AB128" s="324"/>
    </row>
    <row r="129" spans="1:28" s="325" customFormat="1" x14ac:dyDescent="0.25">
      <c r="A129" s="964"/>
      <c r="B129" s="964"/>
      <c r="C129" s="965"/>
      <c r="D129" s="966"/>
      <c r="E129" s="967"/>
      <c r="F129" s="967"/>
      <c r="G129" s="968"/>
      <c r="H129" s="967"/>
      <c r="I129" s="968"/>
      <c r="J129" s="967"/>
      <c r="K129" s="968"/>
      <c r="L129" s="967"/>
      <c r="M129" s="968"/>
      <c r="N129" s="967"/>
      <c r="O129" s="968"/>
      <c r="P129" s="967"/>
      <c r="Q129" s="968"/>
      <c r="R129" s="967"/>
      <c r="S129" s="968"/>
      <c r="T129" s="967"/>
      <c r="U129" s="968"/>
      <c r="V129" s="969"/>
      <c r="W129" s="968"/>
      <c r="X129" s="968"/>
      <c r="Y129" s="970"/>
      <c r="Z129" s="971"/>
      <c r="AB129" s="324"/>
    </row>
    <row r="130" spans="1:28" s="325" customFormat="1" x14ac:dyDescent="0.25">
      <c r="A130" s="964"/>
      <c r="B130" s="964"/>
      <c r="C130" s="965"/>
      <c r="D130" s="966"/>
      <c r="E130" s="967"/>
      <c r="F130" s="967"/>
      <c r="G130" s="968"/>
      <c r="H130" s="967"/>
      <c r="I130" s="968"/>
      <c r="J130" s="967"/>
      <c r="K130" s="968"/>
      <c r="L130" s="967"/>
      <c r="M130" s="968"/>
      <c r="N130" s="967"/>
      <c r="O130" s="968"/>
      <c r="P130" s="967"/>
      <c r="Q130" s="968"/>
      <c r="R130" s="967"/>
      <c r="S130" s="968"/>
      <c r="T130" s="967"/>
      <c r="U130" s="968"/>
      <c r="V130" s="969"/>
      <c r="W130" s="968"/>
      <c r="X130" s="968"/>
      <c r="Y130" s="970"/>
      <c r="Z130" s="971"/>
      <c r="AB130" s="324"/>
    </row>
    <row r="131" spans="1:28" s="325" customFormat="1" x14ac:dyDescent="0.25">
      <c r="A131" s="964"/>
      <c r="B131" s="964"/>
      <c r="C131" s="965"/>
      <c r="D131" s="966"/>
      <c r="E131" s="967"/>
      <c r="F131" s="967"/>
      <c r="G131" s="968"/>
      <c r="H131" s="967"/>
      <c r="I131" s="968"/>
      <c r="J131" s="967"/>
      <c r="K131" s="968"/>
      <c r="L131" s="967"/>
      <c r="M131" s="968"/>
      <c r="N131" s="967"/>
      <c r="O131" s="968"/>
      <c r="P131" s="967"/>
      <c r="Q131" s="968"/>
      <c r="R131" s="967"/>
      <c r="S131" s="968"/>
      <c r="T131" s="967"/>
      <c r="U131" s="968"/>
      <c r="V131" s="969"/>
      <c r="W131" s="968"/>
      <c r="X131" s="968"/>
      <c r="Y131" s="970"/>
      <c r="Z131" s="971"/>
      <c r="AB131" s="324"/>
    </row>
    <row r="132" spans="1:28" s="325" customFormat="1" x14ac:dyDescent="0.25">
      <c r="A132" s="964"/>
      <c r="B132" s="964"/>
      <c r="C132" s="965"/>
      <c r="D132" s="966"/>
      <c r="E132" s="967"/>
      <c r="F132" s="967"/>
      <c r="G132" s="968"/>
      <c r="H132" s="967"/>
      <c r="I132" s="968"/>
      <c r="J132" s="967"/>
      <c r="K132" s="968"/>
      <c r="L132" s="967"/>
      <c r="M132" s="968"/>
      <c r="N132" s="967"/>
      <c r="O132" s="968"/>
      <c r="P132" s="967"/>
      <c r="Q132" s="968"/>
      <c r="R132" s="967"/>
      <c r="S132" s="968"/>
      <c r="T132" s="967"/>
      <c r="U132" s="968"/>
      <c r="V132" s="969"/>
      <c r="W132" s="968"/>
      <c r="X132" s="968"/>
      <c r="Y132" s="970"/>
      <c r="Z132" s="971"/>
      <c r="AB132" s="324"/>
    </row>
    <row r="133" spans="1:28" s="325" customFormat="1" x14ac:dyDescent="0.25">
      <c r="A133" s="964"/>
      <c r="B133" s="964"/>
      <c r="C133" s="965"/>
      <c r="D133" s="966"/>
      <c r="E133" s="967"/>
      <c r="F133" s="967"/>
      <c r="G133" s="968"/>
      <c r="H133" s="967"/>
      <c r="I133" s="968"/>
      <c r="J133" s="967"/>
      <c r="K133" s="968"/>
      <c r="L133" s="967"/>
      <c r="M133" s="968"/>
      <c r="N133" s="967"/>
      <c r="O133" s="968"/>
      <c r="P133" s="967"/>
      <c r="Q133" s="968"/>
      <c r="R133" s="967"/>
      <c r="S133" s="968"/>
      <c r="T133" s="967"/>
      <c r="U133" s="968"/>
      <c r="V133" s="969"/>
      <c r="W133" s="968"/>
      <c r="X133" s="968"/>
      <c r="Y133" s="970"/>
      <c r="Z133" s="971"/>
      <c r="AB133" s="324"/>
    </row>
    <row r="134" spans="1:28" s="325" customFormat="1" x14ac:dyDescent="0.25">
      <c r="A134" s="964"/>
      <c r="B134" s="964"/>
      <c r="C134" s="965"/>
      <c r="D134" s="966"/>
      <c r="E134" s="967"/>
      <c r="F134" s="967"/>
      <c r="G134" s="968"/>
      <c r="H134" s="967"/>
      <c r="I134" s="968"/>
      <c r="J134" s="967"/>
      <c r="K134" s="968"/>
      <c r="L134" s="967"/>
      <c r="M134" s="968"/>
      <c r="N134" s="967"/>
      <c r="O134" s="968"/>
      <c r="P134" s="967"/>
      <c r="Q134" s="968"/>
      <c r="R134" s="967"/>
      <c r="S134" s="968"/>
      <c r="T134" s="967"/>
      <c r="U134" s="968"/>
      <c r="V134" s="969"/>
      <c r="W134" s="968"/>
      <c r="X134" s="968"/>
      <c r="Y134" s="970"/>
      <c r="Z134" s="971"/>
      <c r="AB134" s="324"/>
    </row>
    <row r="135" spans="1:28" s="325" customFormat="1" x14ac:dyDescent="0.25">
      <c r="A135" s="964"/>
      <c r="B135" s="964"/>
      <c r="C135" s="965"/>
      <c r="D135" s="966"/>
      <c r="E135" s="967"/>
      <c r="F135" s="967"/>
      <c r="G135" s="968"/>
      <c r="H135" s="967"/>
      <c r="I135" s="968"/>
      <c r="J135" s="967"/>
      <c r="K135" s="968"/>
      <c r="L135" s="967"/>
      <c r="M135" s="968"/>
      <c r="N135" s="967"/>
      <c r="O135" s="968"/>
      <c r="P135" s="967"/>
      <c r="Q135" s="968"/>
      <c r="R135" s="967"/>
      <c r="S135" s="968"/>
      <c r="T135" s="967"/>
      <c r="U135" s="968"/>
      <c r="V135" s="969"/>
      <c r="W135" s="968"/>
      <c r="X135" s="968"/>
      <c r="Y135" s="970"/>
      <c r="Z135" s="971"/>
      <c r="AB135" s="324"/>
    </row>
    <row r="136" spans="1:28" s="325" customFormat="1" x14ac:dyDescent="0.25">
      <c r="A136" s="964"/>
      <c r="B136" s="964"/>
      <c r="C136" s="965"/>
      <c r="D136" s="966"/>
      <c r="E136" s="967"/>
      <c r="F136" s="967"/>
      <c r="G136" s="968"/>
      <c r="H136" s="967"/>
      <c r="I136" s="968"/>
      <c r="J136" s="967"/>
      <c r="K136" s="968"/>
      <c r="L136" s="967"/>
      <c r="M136" s="968"/>
      <c r="N136" s="967"/>
      <c r="O136" s="968"/>
      <c r="P136" s="967"/>
      <c r="Q136" s="968"/>
      <c r="R136" s="967"/>
      <c r="S136" s="968"/>
      <c r="T136" s="967"/>
      <c r="U136" s="968"/>
      <c r="V136" s="969"/>
      <c r="W136" s="968"/>
      <c r="X136" s="968"/>
      <c r="Y136" s="970"/>
      <c r="Z136" s="971"/>
      <c r="AB136" s="324"/>
    </row>
    <row r="137" spans="1:28" s="325" customFormat="1" x14ac:dyDescent="0.25">
      <c r="A137" s="972"/>
      <c r="B137" s="972"/>
      <c r="C137" s="973"/>
      <c r="D137" s="974"/>
      <c r="E137" s="950"/>
      <c r="F137" s="950"/>
      <c r="G137" s="951"/>
      <c r="H137" s="950"/>
      <c r="I137" s="951"/>
      <c r="J137" s="950"/>
      <c r="K137" s="951"/>
      <c r="L137" s="950"/>
      <c r="M137" s="951"/>
      <c r="N137" s="950"/>
      <c r="O137" s="951"/>
      <c r="P137" s="950"/>
      <c r="Q137" s="951"/>
      <c r="R137" s="950"/>
      <c r="S137" s="951"/>
      <c r="T137" s="950"/>
      <c r="U137" s="951"/>
      <c r="V137" s="975"/>
      <c r="W137" s="951"/>
      <c r="X137" s="951"/>
      <c r="Y137" s="976"/>
      <c r="Z137" s="977"/>
      <c r="AB137" s="324"/>
    </row>
    <row r="138" spans="1:28" s="133" customFormat="1" x14ac:dyDescent="0.25">
      <c r="A138" s="776" t="s">
        <v>197</v>
      </c>
      <c r="B138" s="776" t="s">
        <v>246</v>
      </c>
      <c r="C138" s="776" t="s">
        <v>250</v>
      </c>
      <c r="D138" s="776" t="s">
        <v>251</v>
      </c>
      <c r="E138" s="767" t="s">
        <v>350</v>
      </c>
      <c r="F138" s="938"/>
      <c r="G138" s="768"/>
      <c r="H138" s="767" t="s">
        <v>372</v>
      </c>
      <c r="I138" s="768"/>
      <c r="J138" s="767" t="s">
        <v>368</v>
      </c>
      <c r="K138" s="768"/>
      <c r="L138" s="787" t="s">
        <v>383</v>
      </c>
      <c r="M138" s="939"/>
      <c r="N138" s="939"/>
      <c r="O138" s="939"/>
      <c r="P138" s="939"/>
      <c r="Q138" s="939"/>
      <c r="R138" s="939"/>
      <c r="S138" s="788"/>
      <c r="T138" s="767" t="s">
        <v>370</v>
      </c>
      <c r="U138" s="768"/>
      <c r="V138" s="767" t="s">
        <v>374</v>
      </c>
      <c r="W138" s="768"/>
      <c r="X138" s="767" t="s">
        <v>547</v>
      </c>
      <c r="Y138" s="768"/>
      <c r="Z138" s="777" t="s">
        <v>252</v>
      </c>
      <c r="AB138" s="124"/>
    </row>
    <row r="139" spans="1:28" s="133" customFormat="1" x14ac:dyDescent="0.25">
      <c r="A139" s="776"/>
      <c r="B139" s="776"/>
      <c r="C139" s="776"/>
      <c r="D139" s="776"/>
      <c r="E139" s="767"/>
      <c r="F139" s="780"/>
      <c r="G139" s="768"/>
      <c r="H139" s="767"/>
      <c r="I139" s="768"/>
      <c r="J139" s="767"/>
      <c r="K139" s="768"/>
      <c r="L139" s="785" t="s">
        <v>353</v>
      </c>
      <c r="M139" s="786"/>
      <c r="N139" s="789" t="s">
        <v>354</v>
      </c>
      <c r="O139" s="790"/>
      <c r="P139" s="789" t="s">
        <v>355</v>
      </c>
      <c r="Q139" s="790"/>
      <c r="R139" s="789" t="s">
        <v>356</v>
      </c>
      <c r="S139" s="790"/>
      <c r="T139" s="767"/>
      <c r="U139" s="768"/>
      <c r="V139" s="767"/>
      <c r="W139" s="768"/>
      <c r="X139" s="767"/>
      <c r="Y139" s="768"/>
      <c r="Z139" s="783"/>
      <c r="AB139" s="124"/>
    </row>
    <row r="140" spans="1:28" s="133" customFormat="1" ht="33.75" customHeight="1" x14ac:dyDescent="0.25">
      <c r="A140" s="776"/>
      <c r="B140" s="776"/>
      <c r="C140" s="776"/>
      <c r="D140" s="776"/>
      <c r="E140" s="769"/>
      <c r="F140" s="781"/>
      <c r="G140" s="770"/>
      <c r="H140" s="769"/>
      <c r="I140" s="770"/>
      <c r="J140" s="769"/>
      <c r="K140" s="770"/>
      <c r="L140" s="787"/>
      <c r="M140" s="788"/>
      <c r="N140" s="791"/>
      <c r="O140" s="792"/>
      <c r="P140" s="791"/>
      <c r="Q140" s="792"/>
      <c r="R140" s="791"/>
      <c r="S140" s="792"/>
      <c r="T140" s="769"/>
      <c r="U140" s="770"/>
      <c r="V140" s="769"/>
      <c r="W140" s="770"/>
      <c r="X140" s="769"/>
      <c r="Y140" s="770"/>
      <c r="Z140" s="783"/>
      <c r="AA140" s="134"/>
      <c r="AB140" s="124"/>
    </row>
    <row r="141" spans="1:28" s="173" customFormat="1" ht="21.75" customHeight="1" thickBot="1" x14ac:dyDescent="0.3">
      <c r="A141" s="777"/>
      <c r="B141" s="778"/>
      <c r="C141" s="778"/>
      <c r="D141" s="778"/>
      <c r="E141" s="161" t="s">
        <v>234</v>
      </c>
      <c r="F141" s="161" t="s">
        <v>235</v>
      </c>
      <c r="G141" s="161" t="s">
        <v>351</v>
      </c>
      <c r="H141" s="161" t="s">
        <v>234</v>
      </c>
      <c r="I141" s="161" t="s">
        <v>352</v>
      </c>
      <c r="J141" s="161" t="s">
        <v>234</v>
      </c>
      <c r="K141" s="161" t="s">
        <v>352</v>
      </c>
      <c r="L141" s="161" t="s">
        <v>234</v>
      </c>
      <c r="M141" s="619" t="s">
        <v>242</v>
      </c>
      <c r="N141" s="161" t="s">
        <v>234</v>
      </c>
      <c r="O141" s="619" t="s">
        <v>242</v>
      </c>
      <c r="P141" s="161" t="s">
        <v>234</v>
      </c>
      <c r="Q141" s="619" t="s">
        <v>242</v>
      </c>
      <c r="R141" s="161" t="s">
        <v>234</v>
      </c>
      <c r="S141" s="619" t="s">
        <v>242</v>
      </c>
      <c r="T141" s="619" t="s">
        <v>74</v>
      </c>
      <c r="U141" s="619" t="s">
        <v>242</v>
      </c>
      <c r="V141" s="619" t="s">
        <v>74</v>
      </c>
      <c r="W141" s="619" t="s">
        <v>242</v>
      </c>
      <c r="X141" s="619" t="s">
        <v>74</v>
      </c>
      <c r="Y141" s="241" t="s">
        <v>242</v>
      </c>
      <c r="Z141" s="784"/>
      <c r="AB141" s="174"/>
    </row>
    <row r="142" spans="1:28" s="133" customFormat="1" x14ac:dyDescent="0.3">
      <c r="A142" s="162">
        <v>1</v>
      </c>
      <c r="B142" s="162">
        <v>2</v>
      </c>
      <c r="C142" s="163">
        <v>3</v>
      </c>
      <c r="D142" s="163">
        <v>4</v>
      </c>
      <c r="E142" s="809">
        <v>5</v>
      </c>
      <c r="F142" s="810"/>
      <c r="G142" s="811"/>
      <c r="H142" s="809">
        <v>6</v>
      </c>
      <c r="I142" s="811"/>
      <c r="J142" s="809">
        <v>7</v>
      </c>
      <c r="K142" s="811"/>
      <c r="L142" s="803">
        <v>8</v>
      </c>
      <c r="M142" s="804"/>
      <c r="N142" s="803">
        <v>9</v>
      </c>
      <c r="O142" s="804"/>
      <c r="P142" s="803">
        <v>10</v>
      </c>
      <c r="Q142" s="804"/>
      <c r="R142" s="803">
        <v>11</v>
      </c>
      <c r="S142" s="804"/>
      <c r="T142" s="803">
        <v>12</v>
      </c>
      <c r="U142" s="804"/>
      <c r="V142" s="805" t="s">
        <v>243</v>
      </c>
      <c r="W142" s="806"/>
      <c r="X142" s="805" t="s">
        <v>244</v>
      </c>
      <c r="Y142" s="806"/>
      <c r="Z142" s="618">
        <v>15</v>
      </c>
      <c r="AB142" s="124"/>
    </row>
    <row r="143" spans="1:28" s="131" customFormat="1" x14ac:dyDescent="0.25">
      <c r="A143" s="270"/>
      <c r="B143" s="270"/>
      <c r="C143" s="812" t="s">
        <v>300</v>
      </c>
      <c r="D143" s="812" t="s">
        <v>301</v>
      </c>
      <c r="E143" s="493">
        <v>129</v>
      </c>
      <c r="F143" s="631"/>
      <c r="G143" s="830">
        <f>SUM(G145:G148)</f>
        <v>750000000</v>
      </c>
      <c r="H143" s="493">
        <v>24</v>
      </c>
      <c r="I143" s="830">
        <f>SUM(I145:I148)</f>
        <v>0</v>
      </c>
      <c r="J143" s="493">
        <v>24</v>
      </c>
      <c r="K143" s="830">
        <f>SUM(K145:K148)</f>
        <v>84371200</v>
      </c>
      <c r="L143" s="493">
        <v>6</v>
      </c>
      <c r="M143" s="830">
        <f>SUM(M145:M148)</f>
        <v>0</v>
      </c>
      <c r="N143" s="493">
        <v>6</v>
      </c>
      <c r="O143" s="830">
        <f>SUM(O145:O148)</f>
        <v>0</v>
      </c>
      <c r="P143" s="483">
        <v>6</v>
      </c>
      <c r="Q143" s="830">
        <f>SUM(Q145:Q148)</f>
        <v>12978351</v>
      </c>
      <c r="R143" s="495">
        <v>6</v>
      </c>
      <c r="S143" s="830">
        <f>SUM(S145:S148)</f>
        <v>64581200</v>
      </c>
      <c r="T143" s="543">
        <f>R143+P143+N143+L143</f>
        <v>24</v>
      </c>
      <c r="U143" s="830">
        <f>M143+O143+Q143+S143</f>
        <v>77559551</v>
      </c>
      <c r="V143" s="495">
        <f>H143+T143</f>
        <v>48</v>
      </c>
      <c r="W143" s="830">
        <f>SUM(I143+U143)</f>
        <v>77559551</v>
      </c>
      <c r="X143" s="536">
        <f>V143/E143*100</f>
        <v>37.209302325581397</v>
      </c>
      <c r="Y143" s="536">
        <f>W143/G143*100</f>
        <v>10.341273466666667</v>
      </c>
      <c r="Z143" s="860" t="s">
        <v>283</v>
      </c>
      <c r="AB143" s="125"/>
    </row>
    <row r="144" spans="1:28" s="131" customFormat="1" ht="60.75" customHeight="1" x14ac:dyDescent="0.25">
      <c r="A144" s="270"/>
      <c r="B144" s="270"/>
      <c r="C144" s="813"/>
      <c r="D144" s="813"/>
      <c r="E144" s="625"/>
      <c r="F144" s="625" t="s">
        <v>390</v>
      </c>
      <c r="G144" s="829"/>
      <c r="H144" s="625" t="s">
        <v>402</v>
      </c>
      <c r="I144" s="829"/>
      <c r="J144" s="625" t="s">
        <v>302</v>
      </c>
      <c r="K144" s="829"/>
      <c r="L144" s="625" t="s">
        <v>302</v>
      </c>
      <c r="M144" s="829"/>
      <c r="N144" s="625" t="s">
        <v>302</v>
      </c>
      <c r="O144" s="829"/>
      <c r="P144" s="625" t="s">
        <v>302</v>
      </c>
      <c r="Q144" s="829"/>
      <c r="R144" s="625" t="s">
        <v>302</v>
      </c>
      <c r="S144" s="829"/>
      <c r="T144" s="625" t="s">
        <v>302</v>
      </c>
      <c r="U144" s="829">
        <f t="shared" ref="U144" si="45">M144+O144+Q144+S144</f>
        <v>0</v>
      </c>
      <c r="V144" s="500"/>
      <c r="W144" s="829"/>
      <c r="X144" s="532"/>
      <c r="Y144" s="532"/>
      <c r="Z144" s="842"/>
      <c r="AB144" s="125"/>
    </row>
    <row r="145" spans="1:28" s="348" customFormat="1" ht="41.4" x14ac:dyDescent="0.25">
      <c r="A145" s="344"/>
      <c r="B145" s="344"/>
      <c r="C145" s="794" t="str">
        <f>'[1]2.8 PPPA'!B25</f>
        <v>Peningkatan Kapasitas Sumber Daya Lembaga Penyedia Layanan Penanganan bagi Perempuan Korban Kekerasan Kewenangan Kabupaten/Kota</v>
      </c>
      <c r="D145" s="794" t="str">
        <f>'[1]2.8 PPPA'!D25</f>
        <v>Jumlah sumber Daya Manusia Lembaga Penyedia Layanan Penanganan bagi Perempuan Korban Kekerasan Kewenangan Kabupaten/Kota yang Mendapat Peningkatan Kapasitas</v>
      </c>
      <c r="E145" s="237">
        <v>155</v>
      </c>
      <c r="F145" s="622"/>
      <c r="G145" s="622">
        <v>500000000</v>
      </c>
      <c r="H145" s="237">
        <v>30</v>
      </c>
      <c r="I145" s="622">
        <v>0</v>
      </c>
      <c r="J145" s="237">
        <v>30</v>
      </c>
      <c r="K145" s="622">
        <v>58140000</v>
      </c>
      <c r="L145" s="642">
        <v>0</v>
      </c>
      <c r="M145" s="622">
        <v>0</v>
      </c>
      <c r="N145" s="642">
        <v>0</v>
      </c>
      <c r="O145" s="622">
        <v>0</v>
      </c>
      <c r="P145" s="662">
        <v>10</v>
      </c>
      <c r="Q145" s="622">
        <f>12978351-O145-M145</f>
        <v>12978351</v>
      </c>
      <c r="R145" s="215">
        <v>20</v>
      </c>
      <c r="S145" s="622">
        <f>51328351-Q145-O145-M145</f>
        <v>38350000</v>
      </c>
      <c r="T145" s="662">
        <f>R145+P145+N145+L145</f>
        <v>30</v>
      </c>
      <c r="U145" s="622">
        <f>M145+O145+Q145+S145</f>
        <v>51328351</v>
      </c>
      <c r="V145" s="215">
        <f t="shared" ref="V145:V147" si="46">H145+T145</f>
        <v>60</v>
      </c>
      <c r="W145" s="622">
        <f>SUM(I145+U145)</f>
        <v>51328351</v>
      </c>
      <c r="X145" s="340">
        <f>V145/E145*100</f>
        <v>38.70967741935484</v>
      </c>
      <c r="Y145" s="340">
        <f>W145/G145*100</f>
        <v>10.265670200000001</v>
      </c>
      <c r="Z145" s="642" t="s">
        <v>283</v>
      </c>
      <c r="AB145" s="349"/>
    </row>
    <row r="146" spans="1:28" s="348" customFormat="1" ht="56.4" customHeight="1" x14ac:dyDescent="0.25">
      <c r="A146" s="344"/>
      <c r="B146" s="344"/>
      <c r="C146" s="795"/>
      <c r="D146" s="795"/>
      <c r="E146" s="307"/>
      <c r="F146" s="307" t="s">
        <v>238</v>
      </c>
      <c r="G146" s="623"/>
      <c r="H146" s="307" t="s">
        <v>239</v>
      </c>
      <c r="I146" s="623"/>
      <c r="J146" s="307" t="s">
        <v>238</v>
      </c>
      <c r="K146" s="623"/>
      <c r="L146" s="307" t="s">
        <v>238</v>
      </c>
      <c r="M146" s="623"/>
      <c r="N146" s="307" t="s">
        <v>238</v>
      </c>
      <c r="O146" s="623"/>
      <c r="P146" s="199" t="s">
        <v>238</v>
      </c>
      <c r="Q146" s="623"/>
      <c r="R146" s="199" t="s">
        <v>238</v>
      </c>
      <c r="S146" s="220"/>
      <c r="T146" s="199" t="s">
        <v>239</v>
      </c>
      <c r="U146" s="623"/>
      <c r="V146" s="309"/>
      <c r="W146" s="623"/>
      <c r="X146" s="338"/>
      <c r="Y146" s="338"/>
      <c r="Z146" s="639"/>
      <c r="AB146" s="349"/>
    </row>
    <row r="147" spans="1:28" s="348" customFormat="1" x14ac:dyDescent="0.25">
      <c r="A147" s="344"/>
      <c r="B147" s="344"/>
      <c r="C147" s="794" t="str">
        <f>'[1]2.8 PPPA'!B27</f>
        <v>Penguatan Jejaring antar Lembaga Penyedia Layanan Perlindungan Perempuan Kewenangan Kabupaten/Kota</v>
      </c>
      <c r="D147" s="794" t="str">
        <f>'[1]2.8 PPPA'!D27</f>
        <v>Jumlah Dokumen Hasil Penguatan Jejaring Antar Lembaga Penyedia Layanan Perlindungan Perempuan Kewenangan Kabupaten/Kota</v>
      </c>
      <c r="E147" s="237">
        <v>28</v>
      </c>
      <c r="F147" s="622"/>
      <c r="G147" s="622">
        <v>250000000</v>
      </c>
      <c r="H147" s="237">
        <v>5</v>
      </c>
      <c r="I147" s="622">
        <v>0</v>
      </c>
      <c r="J147" s="237">
        <v>5</v>
      </c>
      <c r="K147" s="622">
        <v>26231200</v>
      </c>
      <c r="L147" s="642">
        <v>0</v>
      </c>
      <c r="M147" s="622">
        <v>0</v>
      </c>
      <c r="N147" s="642"/>
      <c r="O147" s="622">
        <v>0</v>
      </c>
      <c r="P147" s="662"/>
      <c r="Q147" s="622">
        <f>0-O147-M147</f>
        <v>0</v>
      </c>
      <c r="R147" s="215">
        <v>5</v>
      </c>
      <c r="S147" s="207">
        <f>26231200-Q147-O147-M147</f>
        <v>26231200</v>
      </c>
      <c r="T147" s="662">
        <f>R147+P147+N147+L147</f>
        <v>5</v>
      </c>
      <c r="U147" s="622">
        <f>M147+O147+Q147+S147</f>
        <v>26231200</v>
      </c>
      <c r="V147" s="217">
        <f t="shared" si="46"/>
        <v>10</v>
      </c>
      <c r="W147" s="622">
        <f>SUM(I147+U147)</f>
        <v>26231200</v>
      </c>
      <c r="X147" s="340">
        <f>V147/E147*100</f>
        <v>35.714285714285715</v>
      </c>
      <c r="Y147" s="340">
        <f>W147/G147*100</f>
        <v>10.49248</v>
      </c>
      <c r="Z147" s="855" t="s">
        <v>283</v>
      </c>
      <c r="AB147" s="349"/>
    </row>
    <row r="148" spans="1:28" s="348" customFormat="1" ht="58.5" customHeight="1" thickBot="1" x14ac:dyDescent="0.3">
      <c r="A148" s="344"/>
      <c r="B148" s="344"/>
      <c r="C148" s="861"/>
      <c r="D148" s="861"/>
      <c r="E148" s="312"/>
      <c r="F148" s="312" t="s">
        <v>156</v>
      </c>
      <c r="G148" s="317"/>
      <c r="H148" s="312" t="s">
        <v>156</v>
      </c>
      <c r="I148" s="317"/>
      <c r="J148" s="312" t="s">
        <v>156</v>
      </c>
      <c r="K148" s="317"/>
      <c r="L148" s="312" t="s">
        <v>156</v>
      </c>
      <c r="M148" s="317"/>
      <c r="N148" s="312" t="s">
        <v>156</v>
      </c>
      <c r="O148" s="317"/>
      <c r="P148" s="216" t="s">
        <v>156</v>
      </c>
      <c r="Q148" s="317"/>
      <c r="R148" s="216" t="s">
        <v>156</v>
      </c>
      <c r="S148" s="317"/>
      <c r="T148" s="216" t="s">
        <v>156</v>
      </c>
      <c r="U148" s="317"/>
      <c r="V148" s="380"/>
      <c r="W148" s="317"/>
      <c r="X148" s="381"/>
      <c r="Y148" s="381"/>
      <c r="Z148" s="862"/>
      <c r="AB148" s="349"/>
    </row>
    <row r="149" spans="1:28" ht="45.75" customHeight="1" thickBot="1" x14ac:dyDescent="0.3">
      <c r="A149" s="135"/>
      <c r="B149" s="135"/>
      <c r="C149" s="136" t="s">
        <v>303</v>
      </c>
      <c r="D149" s="136" t="s">
        <v>304</v>
      </c>
      <c r="E149" s="146">
        <v>0.1</v>
      </c>
      <c r="F149" s="144" t="s">
        <v>237</v>
      </c>
      <c r="G149" s="127">
        <f>G150+G154</f>
        <v>650000000</v>
      </c>
      <c r="H149" s="146">
        <v>0.02</v>
      </c>
      <c r="I149" s="127">
        <f>I150+I154</f>
        <v>65958800</v>
      </c>
      <c r="J149" s="146">
        <v>0.02</v>
      </c>
      <c r="K149" s="127">
        <f>K150+K154</f>
        <v>64636000</v>
      </c>
      <c r="L149" s="680">
        <v>5.0000000000000001E-3</v>
      </c>
      <c r="M149" s="127">
        <f>M150</f>
        <v>0</v>
      </c>
      <c r="N149" s="680">
        <v>5.0000000000000001E-3</v>
      </c>
      <c r="O149" s="127">
        <f>O150</f>
        <v>0</v>
      </c>
      <c r="P149" s="681">
        <v>5.0000000000000001E-3</v>
      </c>
      <c r="Q149" s="127">
        <f>Q150</f>
        <v>63256000</v>
      </c>
      <c r="R149" s="681">
        <v>5.0000000000000001E-3</v>
      </c>
      <c r="S149" s="127">
        <f>S150+S154</f>
        <v>0</v>
      </c>
      <c r="T149" s="166">
        <f>R149+P149+N149+L149</f>
        <v>0.02</v>
      </c>
      <c r="U149" s="127">
        <f>M149+O149+Q149+S149</f>
        <v>63256000</v>
      </c>
      <c r="V149" s="166">
        <f>H149+T149</f>
        <v>0.04</v>
      </c>
      <c r="W149" s="127">
        <f>I149+U149</f>
        <v>129214800</v>
      </c>
      <c r="X149" s="180">
        <f>V149/E149*100</f>
        <v>40</v>
      </c>
      <c r="Y149" s="180">
        <f>W149/G149*100</f>
        <v>19.879200000000001</v>
      </c>
      <c r="Z149" s="145" t="s">
        <v>283</v>
      </c>
    </row>
    <row r="150" spans="1:28" s="131" customFormat="1" x14ac:dyDescent="0.25">
      <c r="A150" s="261"/>
      <c r="B150" s="261"/>
      <c r="C150" s="846" t="s">
        <v>396</v>
      </c>
      <c r="D150" s="846" t="s">
        <v>305</v>
      </c>
      <c r="E150" s="553">
        <v>1000</v>
      </c>
      <c r="F150" s="554"/>
      <c r="G150" s="554">
        <f>SUM(G152)</f>
        <v>200000000</v>
      </c>
      <c r="H150" s="553">
        <v>200</v>
      </c>
      <c r="I150" s="554">
        <f>SUM(I152)</f>
        <v>0</v>
      </c>
      <c r="J150" s="553">
        <v>200</v>
      </c>
      <c r="K150" s="554">
        <f>SUM(K152)</f>
        <v>64636000</v>
      </c>
      <c r="L150" s="634">
        <v>0</v>
      </c>
      <c r="M150" s="554">
        <f>SUM(M152)</f>
        <v>0</v>
      </c>
      <c r="N150" s="634">
        <v>0</v>
      </c>
      <c r="O150" s="554">
        <f>SUM(O152)</f>
        <v>0</v>
      </c>
      <c r="P150" s="525">
        <v>200</v>
      </c>
      <c r="Q150" s="554">
        <f>SUM(Q152)</f>
        <v>63256000</v>
      </c>
      <c r="R150" s="495">
        <v>0</v>
      </c>
      <c r="S150" s="664">
        <f>SUM(S152:S152)</f>
        <v>0</v>
      </c>
      <c r="T150" s="543">
        <f>R150+P150+N150+L150</f>
        <v>200</v>
      </c>
      <c r="U150" s="554">
        <f>M150+O150+Q150+S150</f>
        <v>63256000</v>
      </c>
      <c r="V150" s="495">
        <f>H150+T150</f>
        <v>400</v>
      </c>
      <c r="W150" s="554">
        <f>I150+U150</f>
        <v>63256000</v>
      </c>
      <c r="X150" s="536">
        <f>V150/E150*100</f>
        <v>40</v>
      </c>
      <c r="Y150" s="536">
        <f>W150/G150*100</f>
        <v>31.628</v>
      </c>
      <c r="Z150" s="837" t="s">
        <v>283</v>
      </c>
      <c r="AB150" s="125"/>
    </row>
    <row r="151" spans="1:28" s="131" customFormat="1" ht="54" customHeight="1" x14ac:dyDescent="0.25">
      <c r="A151" s="139"/>
      <c r="B151" s="139"/>
      <c r="C151" s="863"/>
      <c r="D151" s="863"/>
      <c r="E151" s="670"/>
      <c r="F151" s="670" t="s">
        <v>306</v>
      </c>
      <c r="G151" s="665" t="s">
        <v>17</v>
      </c>
      <c r="H151" s="670" t="s">
        <v>306</v>
      </c>
      <c r="I151" s="665"/>
      <c r="J151" s="670" t="s">
        <v>306</v>
      </c>
      <c r="K151" s="665"/>
      <c r="L151" s="670" t="s">
        <v>306</v>
      </c>
      <c r="M151" s="665"/>
      <c r="N151" s="670" t="s">
        <v>306</v>
      </c>
      <c r="O151" s="665"/>
      <c r="P151" s="670" t="s">
        <v>306</v>
      </c>
      <c r="Q151" s="665"/>
      <c r="R151" s="670" t="s">
        <v>306</v>
      </c>
      <c r="S151" s="665"/>
      <c r="T151" s="538" t="s">
        <v>306</v>
      </c>
      <c r="U151" s="665"/>
      <c r="V151" s="538"/>
      <c r="W151" s="665"/>
      <c r="X151" s="665"/>
      <c r="Y151" s="555"/>
      <c r="Z151" s="850"/>
      <c r="AB151" s="125"/>
    </row>
    <row r="152" spans="1:28" s="348" customFormat="1" x14ac:dyDescent="0.25">
      <c r="A152" s="344"/>
      <c r="B152" s="344"/>
      <c r="C152" s="794" t="str">
        <f>'[1]2.8 PPPA'!B31</f>
        <v>Pelaksanaan Komunikasi, Informasi dan Edukasi KG dan Perlindungan Anak bagi Keluarga Kewenangan Kabupaten/Kota</v>
      </c>
      <c r="D152" s="794" t="str">
        <f>'[1]2.8 PPPA'!D31</f>
        <v>Jumlah Komunikasi, Informasi, Edukasi (KIE) Kesetaraan Gender (KG) dan Perlindungan Anak bagi Keluarga Kewenangan Kabupaten/Kota yang Tersedia</v>
      </c>
      <c r="E152" s="237">
        <v>20</v>
      </c>
      <c r="F152" s="207"/>
      <c r="G152" s="622">
        <v>200000000</v>
      </c>
      <c r="H152" s="237">
        <v>4</v>
      </c>
      <c r="I152" s="622">
        <v>0</v>
      </c>
      <c r="J152" s="237">
        <v>4</v>
      </c>
      <c r="K152" s="622">
        <v>64636000</v>
      </c>
      <c r="L152" s="642">
        <v>0</v>
      </c>
      <c r="M152" s="622">
        <v>0</v>
      </c>
      <c r="N152" s="642">
        <v>0</v>
      </c>
      <c r="O152" s="622">
        <v>0</v>
      </c>
      <c r="P152" s="662">
        <v>4</v>
      </c>
      <c r="Q152" s="622">
        <f>63256000-O152-M152</f>
        <v>63256000</v>
      </c>
      <c r="R152" s="215">
        <v>0</v>
      </c>
      <c r="S152" s="622">
        <f>63256000-Q152-O152-M152</f>
        <v>0</v>
      </c>
      <c r="T152" s="642">
        <f>R152+P152+N152+L152</f>
        <v>4</v>
      </c>
      <c r="U152" s="622">
        <f>M152+O152+Q152+S152</f>
        <v>63256000</v>
      </c>
      <c r="V152" s="215">
        <f>H152+T152</f>
        <v>8</v>
      </c>
      <c r="W152" s="622">
        <f>SUM(I152+U152)</f>
        <v>63256000</v>
      </c>
      <c r="X152" s="382">
        <f>V152/E152*100</f>
        <v>40</v>
      </c>
      <c r="Y152" s="337">
        <f>W152/G152*100</f>
        <v>31.628</v>
      </c>
      <c r="Z152" s="855" t="s">
        <v>283</v>
      </c>
      <c r="AB152" s="349"/>
    </row>
    <row r="153" spans="1:28" s="348" customFormat="1" ht="80.25" customHeight="1" x14ac:dyDescent="0.25">
      <c r="A153" s="344"/>
      <c r="B153" s="344"/>
      <c r="C153" s="834"/>
      <c r="D153" s="834"/>
      <c r="E153" s="312"/>
      <c r="F153" s="312" t="s">
        <v>156</v>
      </c>
      <c r="G153" s="317"/>
      <c r="H153" s="312" t="s">
        <v>156</v>
      </c>
      <c r="I153" s="317"/>
      <c r="J153" s="312" t="s">
        <v>156</v>
      </c>
      <c r="K153" s="317"/>
      <c r="L153" s="312" t="s">
        <v>156</v>
      </c>
      <c r="M153" s="317"/>
      <c r="N153" s="312" t="s">
        <v>156</v>
      </c>
      <c r="O153" s="317"/>
      <c r="P153" s="312" t="s">
        <v>156</v>
      </c>
      <c r="Q153" s="317"/>
      <c r="R153" s="312" t="s">
        <v>156</v>
      </c>
      <c r="S153" s="317"/>
      <c r="T153" s="307" t="s">
        <v>156</v>
      </c>
      <c r="U153" s="317"/>
      <c r="V153" s="216"/>
      <c r="W153" s="317"/>
      <c r="X153" s="317"/>
      <c r="Y153" s="383"/>
      <c r="Z153" s="851"/>
      <c r="AB153" s="349"/>
    </row>
    <row r="154" spans="1:28" s="131" customFormat="1" ht="23.25" hidden="1" customHeight="1" x14ac:dyDescent="0.25">
      <c r="A154" s="273"/>
      <c r="B154" s="273"/>
      <c r="C154" s="807" t="s">
        <v>486</v>
      </c>
      <c r="D154" s="807" t="s">
        <v>391</v>
      </c>
      <c r="E154" s="493">
        <v>25</v>
      </c>
      <c r="F154" s="631"/>
      <c r="G154" s="631">
        <f>SUM(G156:G159)</f>
        <v>450000000</v>
      </c>
      <c r="H154" s="493">
        <v>5</v>
      </c>
      <c r="I154" s="631">
        <f>SUM(I156:I159)</f>
        <v>65958800</v>
      </c>
      <c r="J154" s="493">
        <v>5</v>
      </c>
      <c r="K154" s="631">
        <f>SUM(K156:K159)</f>
        <v>0</v>
      </c>
      <c r="L154" s="493"/>
      <c r="M154" s="631">
        <f>SUM(M156:M159)</f>
        <v>0</v>
      </c>
      <c r="N154" s="493"/>
      <c r="O154" s="631"/>
      <c r="P154" s="483"/>
      <c r="Q154" s="631"/>
      <c r="R154" s="483"/>
      <c r="S154" s="631">
        <f>SUM(S156:S159)</f>
        <v>0</v>
      </c>
      <c r="T154" s="543">
        <f>R154+P154+N154+L154</f>
        <v>0</v>
      </c>
      <c r="U154" s="631">
        <f>M154+O154+Q154+S154</f>
        <v>0</v>
      </c>
      <c r="V154" s="481">
        <f>H154+T154</f>
        <v>5</v>
      </c>
      <c r="W154" s="631">
        <f>I154+U154</f>
        <v>65958800</v>
      </c>
      <c r="X154" s="556">
        <f>V154/E154*100%</f>
        <v>0.2</v>
      </c>
      <c r="Y154" s="557">
        <f>W154/G154*100%</f>
        <v>0.1465751111111111</v>
      </c>
      <c r="Z154" s="849" t="s">
        <v>283</v>
      </c>
      <c r="AB154" s="125"/>
    </row>
    <row r="155" spans="1:28" s="131" customFormat="1" ht="86.25" hidden="1" customHeight="1" x14ac:dyDescent="0.25">
      <c r="A155" s="273"/>
      <c r="B155" s="273"/>
      <c r="C155" s="808"/>
      <c r="D155" s="808"/>
      <c r="E155" s="627"/>
      <c r="F155" s="627" t="s">
        <v>392</v>
      </c>
      <c r="G155" s="630"/>
      <c r="H155" s="627" t="s">
        <v>307</v>
      </c>
      <c r="I155" s="630"/>
      <c r="J155" s="627" t="s">
        <v>307</v>
      </c>
      <c r="K155" s="630"/>
      <c r="L155" s="627"/>
      <c r="M155" s="630"/>
      <c r="N155" s="627"/>
      <c r="O155" s="630"/>
      <c r="P155" s="507"/>
      <c r="Q155" s="630"/>
      <c r="R155" s="507"/>
      <c r="S155" s="630"/>
      <c r="T155" s="507"/>
      <c r="U155" s="630"/>
      <c r="V155" s="507"/>
      <c r="W155" s="630"/>
      <c r="X155" s="630"/>
      <c r="Y155" s="532"/>
      <c r="Z155" s="850"/>
      <c r="AB155" s="125"/>
    </row>
    <row r="156" spans="1:28" s="348" customFormat="1" ht="24.75" hidden="1" customHeight="1" x14ac:dyDescent="0.25">
      <c r="A156" s="384"/>
      <c r="B156" s="384"/>
      <c r="C156" s="818" t="s">
        <v>487</v>
      </c>
      <c r="D156" s="818" t="s">
        <v>488</v>
      </c>
      <c r="E156" s="312">
        <v>20</v>
      </c>
      <c r="F156" s="312"/>
      <c r="G156" s="317">
        <v>100000000</v>
      </c>
      <c r="H156" s="312">
        <v>5</v>
      </c>
      <c r="I156" s="317">
        <v>0</v>
      </c>
      <c r="J156" s="312">
        <v>5</v>
      </c>
      <c r="K156" s="317">
        <v>0</v>
      </c>
      <c r="L156" s="312"/>
      <c r="M156" s="317">
        <v>0</v>
      </c>
      <c r="N156" s="312"/>
      <c r="O156" s="317">
        <v>0</v>
      </c>
      <c r="P156" s="216"/>
      <c r="Q156" s="317">
        <v>0</v>
      </c>
      <c r="R156" s="216"/>
      <c r="S156" s="317">
        <v>0</v>
      </c>
      <c r="T156" s="642">
        <f>R156+P156+N156+L156</f>
        <v>0</v>
      </c>
      <c r="U156" s="317">
        <v>0</v>
      </c>
      <c r="V156" s="216">
        <f>H156+T156</f>
        <v>5</v>
      </c>
      <c r="W156" s="317">
        <f>I156+U156</f>
        <v>0</v>
      </c>
      <c r="X156" s="385">
        <f>V156/E156*100%</f>
        <v>0.25</v>
      </c>
      <c r="Y156" s="386">
        <f>W156/G156*100%</f>
        <v>0</v>
      </c>
      <c r="Z156" s="864" t="s">
        <v>283</v>
      </c>
      <c r="AB156" s="349"/>
    </row>
    <row r="157" spans="1:28" s="348" customFormat="1" ht="42.75" hidden="1" customHeight="1" x14ac:dyDescent="0.25">
      <c r="A157" s="384"/>
      <c r="B157" s="384"/>
      <c r="C157" s="819"/>
      <c r="D157" s="819"/>
      <c r="E157" s="312"/>
      <c r="F157" s="312" t="s">
        <v>296</v>
      </c>
      <c r="G157" s="317"/>
      <c r="H157" s="312" t="s">
        <v>296</v>
      </c>
      <c r="I157" s="317"/>
      <c r="J157" s="312" t="s">
        <v>296</v>
      </c>
      <c r="K157" s="317"/>
      <c r="L157" s="312"/>
      <c r="M157" s="317"/>
      <c r="N157" s="312"/>
      <c r="O157" s="317"/>
      <c r="P157" s="216"/>
      <c r="Q157" s="317"/>
      <c r="R157" s="216"/>
      <c r="S157" s="317"/>
      <c r="T157" s="216"/>
      <c r="U157" s="317"/>
      <c r="V157" s="216"/>
      <c r="W157" s="317"/>
      <c r="X157" s="385"/>
      <c r="Y157" s="387"/>
      <c r="Z157" s="865"/>
      <c r="AB157" s="349"/>
    </row>
    <row r="158" spans="1:28" s="348" customFormat="1" ht="17.25" hidden="1" customHeight="1" x14ac:dyDescent="0.25">
      <c r="A158" s="384"/>
      <c r="B158" s="384"/>
      <c r="C158" s="818" t="s">
        <v>489</v>
      </c>
      <c r="D158" s="818" t="s">
        <v>490</v>
      </c>
      <c r="E158" s="237">
        <v>120</v>
      </c>
      <c r="F158" s="237"/>
      <c r="G158" s="622">
        <v>350000000</v>
      </c>
      <c r="H158" s="237">
        <v>30</v>
      </c>
      <c r="I158" s="622">
        <v>65958800</v>
      </c>
      <c r="J158" s="237">
        <v>30</v>
      </c>
      <c r="K158" s="622">
        <v>0</v>
      </c>
      <c r="L158" s="237"/>
      <c r="M158" s="622">
        <v>0</v>
      </c>
      <c r="N158" s="237"/>
      <c r="O158" s="622">
        <v>0</v>
      </c>
      <c r="P158" s="198"/>
      <c r="Q158" s="622">
        <v>0</v>
      </c>
      <c r="R158" s="198"/>
      <c r="S158" s="622"/>
      <c r="T158" s="642">
        <f>R158+P158+N158+L158</f>
        <v>0</v>
      </c>
      <c r="U158" s="622">
        <v>0</v>
      </c>
      <c r="V158" s="198">
        <f>H158+T158</f>
        <v>30</v>
      </c>
      <c r="W158" s="622">
        <f>I158+U158</f>
        <v>65958800</v>
      </c>
      <c r="X158" s="388">
        <f>V158/E158*100%</f>
        <v>0.25</v>
      </c>
      <c r="Y158" s="389">
        <f>W158/G158*100%</f>
        <v>0.18845371428571428</v>
      </c>
      <c r="Z158" s="864" t="s">
        <v>283</v>
      </c>
      <c r="AB158" s="349"/>
    </row>
    <row r="159" spans="1:28" s="348" customFormat="1" ht="63.75" hidden="1" customHeight="1" x14ac:dyDescent="0.25">
      <c r="A159" s="384"/>
      <c r="B159" s="384"/>
      <c r="C159" s="819"/>
      <c r="D159" s="819"/>
      <c r="E159" s="307"/>
      <c r="F159" s="307" t="s">
        <v>239</v>
      </c>
      <c r="G159" s="623"/>
      <c r="H159" s="307" t="s">
        <v>239</v>
      </c>
      <c r="I159" s="623"/>
      <c r="J159" s="307" t="s">
        <v>239</v>
      </c>
      <c r="K159" s="623"/>
      <c r="L159" s="307"/>
      <c r="M159" s="623"/>
      <c r="N159" s="307"/>
      <c r="O159" s="623"/>
      <c r="P159" s="199"/>
      <c r="Q159" s="623"/>
      <c r="R159" s="199"/>
      <c r="S159" s="623"/>
      <c r="T159" s="216"/>
      <c r="U159" s="623"/>
      <c r="V159" s="199"/>
      <c r="W159" s="623"/>
      <c r="X159" s="350"/>
      <c r="Y159" s="338"/>
      <c r="Z159" s="865"/>
      <c r="AB159" s="349"/>
    </row>
    <row r="160" spans="1:28" ht="41.4" hidden="1" x14ac:dyDescent="0.25">
      <c r="A160" s="158"/>
      <c r="B160" s="158"/>
      <c r="C160" s="200" t="s">
        <v>393</v>
      </c>
      <c r="D160" s="202" t="s">
        <v>394</v>
      </c>
      <c r="E160" s="175">
        <v>1</v>
      </c>
      <c r="F160" s="203" t="s">
        <v>237</v>
      </c>
      <c r="G160" s="203">
        <f>G161</f>
        <v>360000000</v>
      </c>
      <c r="H160" s="175">
        <v>1</v>
      </c>
      <c r="I160" s="203">
        <f>I161</f>
        <v>0</v>
      </c>
      <c r="J160" s="175">
        <v>1</v>
      </c>
      <c r="K160" s="203">
        <f>K161</f>
        <v>0</v>
      </c>
      <c r="L160" s="201"/>
      <c r="M160" s="203">
        <f>M161</f>
        <v>0</v>
      </c>
      <c r="N160" s="201"/>
      <c r="O160" s="203">
        <f>O161</f>
        <v>0</v>
      </c>
      <c r="P160" s="204"/>
      <c r="Q160" s="203">
        <f>Q161</f>
        <v>0</v>
      </c>
      <c r="R160" s="204"/>
      <c r="S160" s="203">
        <f>S161</f>
        <v>0</v>
      </c>
      <c r="T160" s="682">
        <f>R160+P160+N160+L160</f>
        <v>0</v>
      </c>
      <c r="U160" s="203">
        <f>M160+O160+Q160+S160</f>
        <v>0</v>
      </c>
      <c r="V160" s="209">
        <f>H160+T160</f>
        <v>1</v>
      </c>
      <c r="W160" s="203">
        <f>I160+U160</f>
        <v>0</v>
      </c>
      <c r="X160" s="279">
        <f>V160/E160*100%</f>
        <v>1</v>
      </c>
      <c r="Y160" s="183">
        <f>W160/G160*100%</f>
        <v>0</v>
      </c>
      <c r="Z160" s="280"/>
    </row>
    <row r="161" spans="1:28" s="131" customFormat="1" hidden="1" x14ac:dyDescent="0.25">
      <c r="A161" s="273"/>
      <c r="B161" s="273"/>
      <c r="C161" s="807" t="s">
        <v>395</v>
      </c>
      <c r="D161" s="807" t="s">
        <v>398</v>
      </c>
      <c r="E161" s="493">
        <v>5</v>
      </c>
      <c r="F161" s="631" t="s">
        <v>455</v>
      </c>
      <c r="G161" s="631">
        <f>SUM(G163:G163)</f>
        <v>360000000</v>
      </c>
      <c r="H161" s="493">
        <v>1</v>
      </c>
      <c r="I161" s="631">
        <f>SUM(I163)</f>
        <v>0</v>
      </c>
      <c r="J161" s="493">
        <v>1</v>
      </c>
      <c r="K161" s="631">
        <f>SUM(K163:K163)</f>
        <v>0</v>
      </c>
      <c r="L161" s="493"/>
      <c r="M161" s="631">
        <f>SUM(M163)</f>
        <v>0</v>
      </c>
      <c r="N161" s="493"/>
      <c r="O161" s="631">
        <f>SUM(O163)</f>
        <v>0</v>
      </c>
      <c r="P161" s="483"/>
      <c r="Q161" s="631"/>
      <c r="R161" s="483"/>
      <c r="S161" s="631"/>
      <c r="T161" s="543">
        <f>R161+P161+N161+L161</f>
        <v>0</v>
      </c>
      <c r="U161" s="631">
        <f>M161+O161+Q161+S161</f>
        <v>0</v>
      </c>
      <c r="V161" s="481">
        <f>H161+T161</f>
        <v>1</v>
      </c>
      <c r="W161" s="631">
        <f>I161+U161</f>
        <v>0</v>
      </c>
      <c r="X161" s="558">
        <f>V161/E161*100%</f>
        <v>0.2</v>
      </c>
      <c r="Y161" s="559">
        <f>W161/G161*100%</f>
        <v>0</v>
      </c>
      <c r="Z161" s="849" t="s">
        <v>283</v>
      </c>
      <c r="AB161" s="125"/>
    </row>
    <row r="162" spans="1:28" s="131" customFormat="1" ht="58.5" hidden="1" customHeight="1" x14ac:dyDescent="0.25">
      <c r="A162" s="273"/>
      <c r="B162" s="273"/>
      <c r="C162" s="821"/>
      <c r="D162" s="821"/>
      <c r="E162" s="625"/>
      <c r="F162" s="625" t="s">
        <v>397</v>
      </c>
      <c r="G162" s="503"/>
      <c r="H162" s="625" t="s">
        <v>308</v>
      </c>
      <c r="I162" s="503"/>
      <c r="J162" s="625" t="s">
        <v>308</v>
      </c>
      <c r="K162" s="503"/>
      <c r="L162" s="625"/>
      <c r="M162" s="503"/>
      <c r="N162" s="625"/>
      <c r="O162" s="503"/>
      <c r="P162" s="489"/>
      <c r="Q162" s="503"/>
      <c r="R162" s="489"/>
      <c r="S162" s="503"/>
      <c r="T162" s="489"/>
      <c r="U162" s="503"/>
      <c r="V162" s="489"/>
      <c r="W162" s="503"/>
      <c r="X162" s="503"/>
      <c r="Y162" s="529"/>
      <c r="Z162" s="850"/>
      <c r="AB162" s="125"/>
    </row>
    <row r="163" spans="1:28" s="339" customFormat="1" hidden="1" x14ac:dyDescent="0.25">
      <c r="A163" s="390"/>
      <c r="B163" s="390"/>
      <c r="C163" s="818" t="s">
        <v>453</v>
      </c>
      <c r="D163" s="818" t="s">
        <v>454</v>
      </c>
      <c r="E163" s="237">
        <v>44</v>
      </c>
      <c r="F163" s="622"/>
      <c r="G163" s="622">
        <v>360000000</v>
      </c>
      <c r="H163" s="237">
        <v>44</v>
      </c>
      <c r="I163" s="212">
        <v>0</v>
      </c>
      <c r="J163" s="237">
        <v>44</v>
      </c>
      <c r="K163" s="212">
        <v>0</v>
      </c>
      <c r="L163" s="211"/>
      <c r="M163" s="212">
        <v>0</v>
      </c>
      <c r="N163" s="211"/>
      <c r="O163" s="622">
        <v>0</v>
      </c>
      <c r="P163" s="334"/>
      <c r="Q163" s="212">
        <v>0</v>
      </c>
      <c r="R163" s="334"/>
      <c r="S163" s="212">
        <v>0</v>
      </c>
      <c r="T163" s="642">
        <f>R163+P163+N163+L163</f>
        <v>0</v>
      </c>
      <c r="U163" s="212">
        <v>0</v>
      </c>
      <c r="V163" s="334"/>
      <c r="W163" s="212"/>
      <c r="X163" s="212"/>
      <c r="Y163" s="391"/>
      <c r="Z163" s="864" t="s">
        <v>283</v>
      </c>
      <c r="AB163" s="355"/>
    </row>
    <row r="164" spans="1:28" s="339" customFormat="1" ht="57" hidden="1" customHeight="1" x14ac:dyDescent="0.25">
      <c r="A164" s="390"/>
      <c r="B164" s="390"/>
      <c r="C164" s="819"/>
      <c r="D164" s="819"/>
      <c r="E164" s="307"/>
      <c r="F164" s="623" t="s">
        <v>156</v>
      </c>
      <c r="G164" s="214"/>
      <c r="H164" s="307" t="s">
        <v>156</v>
      </c>
      <c r="I164" s="214"/>
      <c r="J164" s="307" t="s">
        <v>156</v>
      </c>
      <c r="K164" s="214"/>
      <c r="L164" s="392"/>
      <c r="M164" s="214"/>
      <c r="N164" s="392"/>
      <c r="O164" s="623"/>
      <c r="P164" s="326"/>
      <c r="Q164" s="214"/>
      <c r="R164" s="326"/>
      <c r="S164" s="214"/>
      <c r="T164" s="326"/>
      <c r="U164" s="214"/>
      <c r="V164" s="326"/>
      <c r="W164" s="214"/>
      <c r="X164" s="214"/>
      <c r="Y164" s="368"/>
      <c r="Z164" s="865"/>
      <c r="AB164" s="355"/>
    </row>
    <row r="165" spans="1:28" s="123" customFormat="1" ht="61.2" customHeight="1" thickBot="1" x14ac:dyDescent="0.3">
      <c r="A165" s="159"/>
      <c r="B165" s="159" t="s">
        <v>247</v>
      </c>
      <c r="C165" s="251" t="s">
        <v>309</v>
      </c>
      <c r="D165" s="251" t="s">
        <v>310</v>
      </c>
      <c r="E165" s="252">
        <v>0.54</v>
      </c>
      <c r="F165" s="253" t="s">
        <v>237</v>
      </c>
      <c r="G165" s="254">
        <f>G166+G172</f>
        <v>2372219269</v>
      </c>
      <c r="H165" s="253">
        <v>0.49</v>
      </c>
      <c r="I165" s="254">
        <f>I166+I172</f>
        <v>412632900</v>
      </c>
      <c r="J165" s="253">
        <v>0.49</v>
      </c>
      <c r="K165" s="254">
        <f>K166+K172</f>
        <v>456348400</v>
      </c>
      <c r="L165" s="683">
        <v>0.1225</v>
      </c>
      <c r="M165" s="254">
        <f>M166+M172</f>
        <v>9000000</v>
      </c>
      <c r="N165" s="683">
        <v>0.1225</v>
      </c>
      <c r="O165" s="254">
        <f>O166+O172</f>
        <v>6000000</v>
      </c>
      <c r="P165" s="684">
        <v>0.1225</v>
      </c>
      <c r="Q165" s="254">
        <f>Q166+Q172</f>
        <v>237611600</v>
      </c>
      <c r="R165" s="684">
        <v>0.1225</v>
      </c>
      <c r="S165" s="254">
        <f>S166+S172</f>
        <v>175722800</v>
      </c>
      <c r="T165" s="685">
        <f>R165+P165+N165+L165</f>
        <v>0.49</v>
      </c>
      <c r="U165" s="254">
        <f>M165+O165+Q165+S165</f>
        <v>428334400</v>
      </c>
      <c r="V165" s="255">
        <f>H165+T165</f>
        <v>0.98</v>
      </c>
      <c r="W165" s="254">
        <f>I165+U165</f>
        <v>840967300</v>
      </c>
      <c r="X165" s="256">
        <f>V165/E165*100</f>
        <v>181.48148148148147</v>
      </c>
      <c r="Y165" s="256">
        <f>W165/G165*100</f>
        <v>35.450656311147263</v>
      </c>
      <c r="Z165" s="281" t="s">
        <v>311</v>
      </c>
      <c r="AA165" s="130"/>
    </row>
    <row r="166" spans="1:28" s="125" customFormat="1" x14ac:dyDescent="0.25">
      <c r="A166" s="261"/>
      <c r="B166" s="261"/>
      <c r="C166" s="846" t="str">
        <f>'[1]2.8 PPPA'!B44</f>
        <v>Pelembagaan PHA pada Lembaga Pemerintah, Nonpemerintah, dan Dunia Usaha Kewenangan Kabupaten/Kota</v>
      </c>
      <c r="D166" s="846" t="s">
        <v>312</v>
      </c>
      <c r="E166" s="560">
        <v>75</v>
      </c>
      <c r="F166" s="560"/>
      <c r="G166" s="561">
        <f>SUM(G168:G171)</f>
        <v>1342050744</v>
      </c>
      <c r="H166" s="560">
        <v>50</v>
      </c>
      <c r="I166" s="561">
        <f>SUM(I168:I171)</f>
        <v>392502800</v>
      </c>
      <c r="J166" s="560">
        <v>65</v>
      </c>
      <c r="K166" s="561">
        <f>SUM(K168:K171)</f>
        <v>164889600</v>
      </c>
      <c r="L166" s="560">
        <v>15</v>
      </c>
      <c r="M166" s="561">
        <f>SUM(M168:M171)</f>
        <v>9000000</v>
      </c>
      <c r="N166" s="560">
        <v>15</v>
      </c>
      <c r="O166" s="561">
        <f>SUM(O168:O171)</f>
        <v>6000000</v>
      </c>
      <c r="P166" s="562">
        <v>15</v>
      </c>
      <c r="Q166" s="561">
        <f>SUM(Q168:Q171)</f>
        <v>89889600</v>
      </c>
      <c r="R166" s="562">
        <v>20</v>
      </c>
      <c r="S166" s="636">
        <f>SUM(S168:S171)</f>
        <v>44250000</v>
      </c>
      <c r="T166" s="543">
        <f>R166+P166+N166+L166</f>
        <v>65</v>
      </c>
      <c r="U166" s="561">
        <f>M166+O166+Q166+S166</f>
        <v>149139600</v>
      </c>
      <c r="V166" s="562">
        <f>H166+T166</f>
        <v>115</v>
      </c>
      <c r="W166" s="561">
        <f>I166+U166</f>
        <v>541642400</v>
      </c>
      <c r="X166" s="536">
        <f>V166/E166*100</f>
        <v>153.33333333333334</v>
      </c>
      <c r="Y166" s="536">
        <f>W166/G166*100</f>
        <v>40.35930850018589</v>
      </c>
      <c r="Z166" s="869" t="s">
        <v>311</v>
      </c>
      <c r="AA166" s="131"/>
    </row>
    <row r="167" spans="1:28" s="125" customFormat="1" ht="61.5" customHeight="1" x14ac:dyDescent="0.25">
      <c r="A167" s="261"/>
      <c r="B167" s="261"/>
      <c r="C167" s="863"/>
      <c r="D167" s="863"/>
      <c r="E167" s="670"/>
      <c r="F167" s="670" t="s">
        <v>313</v>
      </c>
      <c r="G167" s="561"/>
      <c r="H167" s="670" t="s">
        <v>313</v>
      </c>
      <c r="I167" s="561"/>
      <c r="J167" s="670" t="s">
        <v>313</v>
      </c>
      <c r="K167" s="561"/>
      <c r="L167" s="670" t="s">
        <v>313</v>
      </c>
      <c r="M167" s="561"/>
      <c r="N167" s="670" t="s">
        <v>313</v>
      </c>
      <c r="O167" s="561"/>
      <c r="P167" s="670" t="s">
        <v>313</v>
      </c>
      <c r="Q167" s="561"/>
      <c r="R167" s="670" t="s">
        <v>313</v>
      </c>
      <c r="S167" s="561"/>
      <c r="T167" s="538" t="s">
        <v>313</v>
      </c>
      <c r="U167" s="561"/>
      <c r="V167" s="538"/>
      <c r="W167" s="561"/>
      <c r="X167" s="561"/>
      <c r="Y167" s="563"/>
      <c r="Z167" s="870"/>
      <c r="AA167" s="260"/>
    </row>
    <row r="168" spans="1:28" s="349" customFormat="1" x14ac:dyDescent="0.25">
      <c r="A168" s="258"/>
      <c r="B168" s="258"/>
      <c r="C168" s="794" t="str">
        <f>'[1]2.8 PPPA'!B45</f>
        <v>Advokasi Kebijakan dan Pendampingan Pemenuhan Hak Anak pada Lembaga Pemerintah, Non Pemerintah, Media dan Dunia Usaha Kewenangan Kabupaten/Kota</v>
      </c>
      <c r="D168" s="794" t="str">
        <f>'[1]2.8 PPPA'!D45</f>
        <v>Jumlah Organisasi Pemerintah, Non Pemerintah, Media dan Dunia Usaha yang Mendapat Advokasi Kebijakan dan Pendampingan Pemenuhan Hak Anak pada Organisasi Pemerintah, Non Pemerintah, Media dan Dunia Usaha</v>
      </c>
      <c r="E168" s="393">
        <v>195</v>
      </c>
      <c r="F168" s="237"/>
      <c r="G168" s="866">
        <v>582050744</v>
      </c>
      <c r="H168" s="197">
        <v>40</v>
      </c>
      <c r="I168" s="393">
        <v>286310800</v>
      </c>
      <c r="J168" s="197">
        <v>40</v>
      </c>
      <c r="K168" s="393">
        <f>10500000+3309600+30960000+4900000+36000000+57960000+1500000</f>
        <v>145129600</v>
      </c>
      <c r="L168" s="197">
        <v>10</v>
      </c>
      <c r="M168" s="866">
        <f>9000000</f>
        <v>9000000</v>
      </c>
      <c r="N168" s="197">
        <v>10</v>
      </c>
      <c r="O168" s="866">
        <f>15000000-M168</f>
        <v>6000000</v>
      </c>
      <c r="P168" s="299">
        <v>10</v>
      </c>
      <c r="Q168" s="866">
        <f>91419600-O168-M168</f>
        <v>76419600</v>
      </c>
      <c r="R168" s="662">
        <v>10</v>
      </c>
      <c r="S168" s="855">
        <f>130379600-Q168-O168-M168</f>
        <v>38960000</v>
      </c>
      <c r="T168" s="642">
        <f>R168+P168+N168+L168</f>
        <v>40</v>
      </c>
      <c r="U168" s="866">
        <f t="shared" ref="U168:U169" si="47">M168+O168+Q168+S168</f>
        <v>130379600</v>
      </c>
      <c r="V168" s="662">
        <f>H168+T168</f>
        <v>80</v>
      </c>
      <c r="W168" s="866">
        <f>SUM(I168+U168)</f>
        <v>416690400</v>
      </c>
      <c r="X168" s="337">
        <f>V168/E168*100</f>
        <v>41.025641025641022</v>
      </c>
      <c r="Y168" s="337">
        <f>W168/G168*100</f>
        <v>71.5900467949578</v>
      </c>
      <c r="Z168" s="853" t="s">
        <v>311</v>
      </c>
      <c r="AA168" s="348"/>
    </row>
    <row r="169" spans="1:28" s="349" customFormat="1" ht="109.5" customHeight="1" x14ac:dyDescent="0.25">
      <c r="A169" s="258"/>
      <c r="B169" s="258"/>
      <c r="C169" s="795"/>
      <c r="D169" s="795"/>
      <c r="E169" s="666"/>
      <c r="F169" s="666" t="s">
        <v>314</v>
      </c>
      <c r="G169" s="867"/>
      <c r="H169" s="666" t="s">
        <v>314</v>
      </c>
      <c r="I169" s="394"/>
      <c r="J169" s="666" t="s">
        <v>314</v>
      </c>
      <c r="K169" s="394"/>
      <c r="L169" s="666" t="s">
        <v>314</v>
      </c>
      <c r="M169" s="867"/>
      <c r="N169" s="666" t="s">
        <v>314</v>
      </c>
      <c r="O169" s="867"/>
      <c r="P169" s="666" t="s">
        <v>314</v>
      </c>
      <c r="Q169" s="867"/>
      <c r="R169" s="666" t="s">
        <v>314</v>
      </c>
      <c r="S169" s="852"/>
      <c r="T169" s="223" t="s">
        <v>314</v>
      </c>
      <c r="U169" s="867">
        <f t="shared" si="47"/>
        <v>0</v>
      </c>
      <c r="V169" s="223"/>
      <c r="W169" s="867"/>
      <c r="X169" s="639"/>
      <c r="Y169" s="295"/>
      <c r="Z169" s="854"/>
      <c r="AA169" s="348"/>
    </row>
    <row r="170" spans="1:28" s="349" customFormat="1" x14ac:dyDescent="0.25">
      <c r="A170" s="258"/>
      <c r="B170" s="258"/>
      <c r="C170" s="794" t="str">
        <f>'[1]2.8 PPPA'!B46</f>
        <v>Koordinasi dan Sinkronisasi Pelembagaan Pemenuhan Hak Anak Kewenangan Kabupaten/ Kota</v>
      </c>
      <c r="D170" s="794" t="str">
        <f>'[1]2.8 PPPA'!D46</f>
        <v>Jumlah Dokumen Hasil Koordinasi dan Sinkronisasi Pelembagaan Pemenuhan Hak Anak Kewenangan Kabupaten/ Kota</v>
      </c>
      <c r="E170" s="648">
        <v>25</v>
      </c>
      <c r="F170" s="237"/>
      <c r="G170" s="393">
        <v>760000000</v>
      </c>
      <c r="H170" s="237">
        <v>5</v>
      </c>
      <c r="I170" s="648">
        <v>106192000</v>
      </c>
      <c r="J170" s="237">
        <v>5</v>
      </c>
      <c r="K170" s="648">
        <v>19760000</v>
      </c>
      <c r="L170" s="642">
        <v>0</v>
      </c>
      <c r="M170" s="648">
        <v>0</v>
      </c>
      <c r="N170" s="642">
        <v>0</v>
      </c>
      <c r="O170" s="648">
        <v>0</v>
      </c>
      <c r="P170" s="299">
        <v>4</v>
      </c>
      <c r="Q170" s="393">
        <f>13470000-O170-M170</f>
        <v>13470000</v>
      </c>
      <c r="R170" s="662">
        <v>1</v>
      </c>
      <c r="S170" s="855">
        <f>18760000-Q170-O170-M170</f>
        <v>5290000</v>
      </c>
      <c r="T170" s="642">
        <f>R170+P170+N170+L170</f>
        <v>5</v>
      </c>
      <c r="U170" s="648">
        <f>M170+O170+Q170+S170</f>
        <v>18760000</v>
      </c>
      <c r="V170" s="662">
        <f>H170+T170</f>
        <v>10</v>
      </c>
      <c r="W170" s="648">
        <f>SUM(I170+U170)</f>
        <v>124952000</v>
      </c>
      <c r="X170" s="337">
        <f>V170/E170*100</f>
        <v>40</v>
      </c>
      <c r="Y170" s="337">
        <f>W170/G170*100</f>
        <v>16.441052631578948</v>
      </c>
      <c r="Z170" s="853" t="s">
        <v>311</v>
      </c>
      <c r="AA170" s="348"/>
    </row>
    <row r="171" spans="1:28" s="349" customFormat="1" ht="56.25" customHeight="1" x14ac:dyDescent="0.25">
      <c r="A171" s="258"/>
      <c r="B171" s="258"/>
      <c r="C171" s="834"/>
      <c r="D171" s="834"/>
      <c r="E171" s="312"/>
      <c r="F171" s="312" t="s">
        <v>156</v>
      </c>
      <c r="G171" s="671"/>
      <c r="H171" s="312" t="s">
        <v>156</v>
      </c>
      <c r="I171" s="671"/>
      <c r="J171" s="312" t="s">
        <v>156</v>
      </c>
      <c r="K171" s="671"/>
      <c r="L171" s="312" t="s">
        <v>156</v>
      </c>
      <c r="M171" s="671"/>
      <c r="N171" s="312" t="s">
        <v>156</v>
      </c>
      <c r="O171" s="671"/>
      <c r="P171" s="312" t="s">
        <v>156</v>
      </c>
      <c r="Q171" s="671"/>
      <c r="R171" s="312" t="s">
        <v>156</v>
      </c>
      <c r="S171" s="852"/>
      <c r="T171" s="199" t="s">
        <v>156</v>
      </c>
      <c r="U171" s="671"/>
      <c r="V171" s="216"/>
      <c r="W171" s="671"/>
      <c r="X171" s="638"/>
      <c r="Y171" s="290"/>
      <c r="Z171" s="868"/>
      <c r="AA171" s="348"/>
    </row>
    <row r="172" spans="1:28" s="125" customFormat="1" x14ac:dyDescent="0.25">
      <c r="A172" s="261"/>
      <c r="B172" s="261"/>
      <c r="C172" s="871" t="str">
        <f>'[1]2.8 PPPA'!B47</f>
        <v>Penguatan dan Pengembangan Lembaga Penyedia Layanan Peningkatan Kualitas Hidup Anak Kewenangan Kabupaten/Kota</v>
      </c>
      <c r="D172" s="871" t="s">
        <v>315</v>
      </c>
      <c r="E172" s="636">
        <v>100</v>
      </c>
      <c r="F172" s="564"/>
      <c r="G172" s="636">
        <f>SUM(G174:G180)</f>
        <v>1030168525</v>
      </c>
      <c r="H172" s="564">
        <v>20</v>
      </c>
      <c r="I172" s="636">
        <f>SUM(I174:I181)</f>
        <v>20130100</v>
      </c>
      <c r="J172" s="564">
        <v>20</v>
      </c>
      <c r="K172" s="636">
        <f>SUM(K174:K181)</f>
        <v>291458800</v>
      </c>
      <c r="L172" s="686">
        <v>0</v>
      </c>
      <c r="M172" s="636">
        <f>SUM(M174:M181)</f>
        <v>0</v>
      </c>
      <c r="N172" s="686">
        <v>0</v>
      </c>
      <c r="O172" s="636">
        <f>SUM(O174:O180)</f>
        <v>0</v>
      </c>
      <c r="P172" s="565">
        <v>10</v>
      </c>
      <c r="Q172" s="636">
        <f>SUM(Q174:Q181)</f>
        <v>147722000</v>
      </c>
      <c r="R172" s="566">
        <v>10</v>
      </c>
      <c r="S172" s="636">
        <f>SUM(S174:S181)</f>
        <v>131472800</v>
      </c>
      <c r="T172" s="543">
        <f>R172+P172+N172+L172</f>
        <v>20</v>
      </c>
      <c r="U172" s="636">
        <f>M172+O172+Q172+S172</f>
        <v>279194800</v>
      </c>
      <c r="V172" s="566">
        <f>H172+T172</f>
        <v>40</v>
      </c>
      <c r="W172" s="636">
        <f>I172+U172</f>
        <v>299324900</v>
      </c>
      <c r="X172" s="536">
        <f>V172/E172*100</f>
        <v>40</v>
      </c>
      <c r="Y172" s="536">
        <f>W172/G172*100</f>
        <v>29.055915875511729</v>
      </c>
      <c r="Z172" s="872" t="s">
        <v>311</v>
      </c>
      <c r="AA172" s="131"/>
    </row>
    <row r="173" spans="1:28" s="125" customFormat="1" ht="71.25" customHeight="1" x14ac:dyDescent="0.25">
      <c r="A173" s="261"/>
      <c r="B173" s="261"/>
      <c r="C173" s="863"/>
      <c r="D173" s="863"/>
      <c r="E173" s="670"/>
      <c r="F173" s="670" t="s">
        <v>249</v>
      </c>
      <c r="G173" s="637" t="s">
        <v>17</v>
      </c>
      <c r="H173" s="670" t="s">
        <v>249</v>
      </c>
      <c r="I173" s="637"/>
      <c r="J173" s="670" t="s">
        <v>249</v>
      </c>
      <c r="K173" s="637"/>
      <c r="L173" s="670" t="s">
        <v>249</v>
      </c>
      <c r="M173" s="637"/>
      <c r="N173" s="670" t="s">
        <v>249</v>
      </c>
      <c r="O173" s="637"/>
      <c r="P173" s="538" t="s">
        <v>249</v>
      </c>
      <c r="Q173" s="637"/>
      <c r="R173" s="538" t="s">
        <v>249</v>
      </c>
      <c r="S173" s="637"/>
      <c r="T173" s="538" t="s">
        <v>249</v>
      </c>
      <c r="U173" s="637"/>
      <c r="V173" s="567"/>
      <c r="W173" s="637"/>
      <c r="X173" s="532"/>
      <c r="Y173" s="532"/>
      <c r="Z173" s="870"/>
      <c r="AA173" s="131"/>
    </row>
    <row r="174" spans="1:28" s="349" customFormat="1" x14ac:dyDescent="0.25">
      <c r="A174" s="258"/>
      <c r="B174" s="258"/>
      <c r="C174" s="834" t="str">
        <f>'[1]2.8 PPPA'!B48</f>
        <v>Penyediaan Layanan Peningkatan Kualitas Hidup Anak Kewenangan Kabupaten/ Kota</v>
      </c>
      <c r="D174" s="834" t="str">
        <f>'[1]2.8 PPPA'!D48</f>
        <v>Jumlah Anak yang Mendapatkan Layanan Peningkatan Kualitas Hidup Anak Kewenangan Kabupaten/ Kota</v>
      </c>
      <c r="E174" s="638">
        <v>30000</v>
      </c>
      <c r="F174" s="312"/>
      <c r="G174" s="671">
        <v>272905925</v>
      </c>
      <c r="H174" s="312">
        <v>6000</v>
      </c>
      <c r="I174" s="671">
        <v>0</v>
      </c>
      <c r="J174" s="312">
        <v>6000</v>
      </c>
      <c r="K174" s="671">
        <v>241458800</v>
      </c>
      <c r="L174" s="312"/>
      <c r="M174" s="671">
        <v>0</v>
      </c>
      <c r="N174" s="312"/>
      <c r="O174" s="671">
        <v>0</v>
      </c>
      <c r="P174" s="312">
        <v>3500</v>
      </c>
      <c r="Q174" s="671">
        <f>147722000-O174-M174</f>
        <v>147722000</v>
      </c>
      <c r="R174" s="312">
        <v>2500</v>
      </c>
      <c r="S174" s="855">
        <f>241014800-Q174-O174-M174</f>
        <v>93292800</v>
      </c>
      <c r="T174" s="642">
        <f>R174+P174+N174+L174</f>
        <v>6000</v>
      </c>
      <c r="U174" s="287">
        <f t="shared" ref="U174:U180" si="48">M174+O174+Q174+S174</f>
        <v>241014800</v>
      </c>
      <c r="V174" s="224">
        <f t="shared" ref="V174:W180" si="49">H174+T174</f>
        <v>12000</v>
      </c>
      <c r="W174" s="219">
        <f t="shared" si="49"/>
        <v>241014800</v>
      </c>
      <c r="X174" s="337">
        <f>V174/E174*100</f>
        <v>40</v>
      </c>
      <c r="Y174" s="337">
        <f>W174/G174*100</f>
        <v>88.314242352928034</v>
      </c>
      <c r="Z174" s="853" t="s">
        <v>311</v>
      </c>
      <c r="AA174" s="348" t="s">
        <v>17</v>
      </c>
    </row>
    <row r="175" spans="1:28" s="349" customFormat="1" ht="63" customHeight="1" x14ac:dyDescent="0.25">
      <c r="A175" s="258"/>
      <c r="B175" s="258"/>
      <c r="C175" s="834"/>
      <c r="D175" s="834"/>
      <c r="E175" s="312"/>
      <c r="F175" s="312" t="s">
        <v>239</v>
      </c>
      <c r="G175" s="671" t="s">
        <v>17</v>
      </c>
      <c r="H175" s="312" t="s">
        <v>239</v>
      </c>
      <c r="I175" s="312"/>
      <c r="J175" s="312" t="s">
        <v>239</v>
      </c>
      <c r="K175" s="312"/>
      <c r="L175" s="312"/>
      <c r="M175" s="671"/>
      <c r="N175" s="312"/>
      <c r="O175" s="671"/>
      <c r="P175" s="312" t="s">
        <v>239</v>
      </c>
      <c r="Q175" s="671"/>
      <c r="R175" s="312" t="s">
        <v>239</v>
      </c>
      <c r="S175" s="851"/>
      <c r="T175" s="312" t="s">
        <v>239</v>
      </c>
      <c r="U175" s="647"/>
      <c r="V175" s="395"/>
      <c r="W175" s="225"/>
      <c r="X175" s="338"/>
      <c r="Y175" s="338"/>
      <c r="Z175" s="868"/>
      <c r="AA175" s="348"/>
    </row>
    <row r="176" spans="1:28" s="349" customFormat="1" ht="18" hidden="1" customHeight="1" x14ac:dyDescent="0.25">
      <c r="A176" s="258"/>
      <c r="B176" s="258"/>
      <c r="C176" s="818" t="s">
        <v>491</v>
      </c>
      <c r="D176" s="818" t="s">
        <v>492</v>
      </c>
      <c r="E176" s="237">
        <v>100</v>
      </c>
      <c r="F176" s="237"/>
      <c r="G176" s="648">
        <v>250000000</v>
      </c>
      <c r="H176" s="237">
        <v>20</v>
      </c>
      <c r="I176" s="237">
        <v>20130100</v>
      </c>
      <c r="J176" s="237">
        <v>20</v>
      </c>
      <c r="K176" s="642">
        <v>0</v>
      </c>
      <c r="L176" s="237"/>
      <c r="M176" s="648">
        <v>0</v>
      </c>
      <c r="N176" s="237"/>
      <c r="O176" s="648">
        <v>0</v>
      </c>
      <c r="P176" s="198"/>
      <c r="Q176" s="648">
        <v>0</v>
      </c>
      <c r="R176" s="198"/>
      <c r="S176" s="642">
        <f>0-Q176-O176-M176</f>
        <v>0</v>
      </c>
      <c r="T176" s="642">
        <f>R176+P176+N176+L176</f>
        <v>0</v>
      </c>
      <c r="U176" s="699">
        <f t="shared" si="48"/>
        <v>0</v>
      </c>
      <c r="V176" s="224">
        <f t="shared" si="49"/>
        <v>20</v>
      </c>
      <c r="W176" s="219">
        <f t="shared" si="49"/>
        <v>20130100</v>
      </c>
      <c r="X176" s="337">
        <f t="shared" ref="X176:X178" si="50">V176/E176*100%</f>
        <v>0.2</v>
      </c>
      <c r="Y176" s="337">
        <f t="shared" ref="Y176:Y178" si="51">W176/G176*100%</f>
        <v>8.0520400000000006E-2</v>
      </c>
      <c r="Z176" s="853" t="s">
        <v>311</v>
      </c>
      <c r="AA176" s="348"/>
    </row>
    <row r="177" spans="1:28" s="349" customFormat="1" ht="67.5" hidden="1" customHeight="1" x14ac:dyDescent="0.25">
      <c r="A177" s="258"/>
      <c r="B177" s="258"/>
      <c r="C177" s="819"/>
      <c r="D177" s="819"/>
      <c r="E177" s="307"/>
      <c r="F177" s="307" t="s">
        <v>156</v>
      </c>
      <c r="G177" s="649"/>
      <c r="H177" s="307" t="s">
        <v>156</v>
      </c>
      <c r="I177" s="307"/>
      <c r="J177" s="307" t="s">
        <v>156</v>
      </c>
      <c r="K177" s="307"/>
      <c r="L177" s="307"/>
      <c r="M177" s="649"/>
      <c r="N177" s="307"/>
      <c r="O177" s="649"/>
      <c r="P177" s="199"/>
      <c r="Q177" s="649"/>
      <c r="R177" s="199"/>
      <c r="S177" s="639"/>
      <c r="T177" s="199"/>
      <c r="U177" s="647"/>
      <c r="V177" s="395"/>
      <c r="W177" s="225"/>
      <c r="X177" s="338"/>
      <c r="Y177" s="338"/>
      <c r="Z177" s="868"/>
      <c r="AA177" s="348"/>
    </row>
    <row r="178" spans="1:28" s="349" customFormat="1" ht="20.25" hidden="1" customHeight="1" x14ac:dyDescent="0.25">
      <c r="A178" s="258"/>
      <c r="B178" s="258"/>
      <c r="C178" s="818" t="s">
        <v>493</v>
      </c>
      <c r="D178" s="818" t="s">
        <v>494</v>
      </c>
      <c r="E178" s="312">
        <v>5</v>
      </c>
      <c r="F178" s="312"/>
      <c r="G178" s="671">
        <v>257262600</v>
      </c>
      <c r="H178" s="312"/>
      <c r="I178" s="638">
        <v>0</v>
      </c>
      <c r="J178" s="312">
        <v>1</v>
      </c>
      <c r="K178" s="638">
        <v>0</v>
      </c>
      <c r="L178" s="312"/>
      <c r="M178" s="671">
        <v>0</v>
      </c>
      <c r="N178" s="312"/>
      <c r="O178" s="671">
        <v>0</v>
      </c>
      <c r="P178" s="216"/>
      <c r="Q178" s="671">
        <v>0</v>
      </c>
      <c r="R178" s="216"/>
      <c r="S178" s="638">
        <f>0-Q178-M178</f>
        <v>0</v>
      </c>
      <c r="T178" s="642">
        <f>R178+P178+N178+L178</f>
        <v>0</v>
      </c>
      <c r="U178" s="699">
        <f t="shared" si="48"/>
        <v>0</v>
      </c>
      <c r="V178" s="396">
        <f t="shared" si="49"/>
        <v>0</v>
      </c>
      <c r="W178" s="287">
        <f t="shared" si="49"/>
        <v>0</v>
      </c>
      <c r="X178" s="340">
        <f t="shared" si="50"/>
        <v>0</v>
      </c>
      <c r="Y178" s="340">
        <f t="shared" si="51"/>
        <v>0</v>
      </c>
      <c r="Z178" s="853" t="s">
        <v>311</v>
      </c>
      <c r="AA178" s="348"/>
    </row>
    <row r="179" spans="1:28" s="349" customFormat="1" ht="90" hidden="1" customHeight="1" x14ac:dyDescent="0.25">
      <c r="A179" s="258"/>
      <c r="B179" s="258"/>
      <c r="C179" s="819"/>
      <c r="D179" s="819"/>
      <c r="E179" s="312"/>
      <c r="F179" s="312" t="s">
        <v>156</v>
      </c>
      <c r="G179" s="671"/>
      <c r="H179" s="312"/>
      <c r="I179" s="312"/>
      <c r="J179" s="312" t="s">
        <v>156</v>
      </c>
      <c r="K179" s="312"/>
      <c r="L179" s="312"/>
      <c r="M179" s="671"/>
      <c r="N179" s="312"/>
      <c r="O179" s="671"/>
      <c r="P179" s="216"/>
      <c r="Q179" s="671"/>
      <c r="R179" s="216"/>
      <c r="S179" s="638"/>
      <c r="T179" s="216"/>
      <c r="U179" s="647"/>
      <c r="V179" s="395"/>
      <c r="W179" s="225"/>
      <c r="X179" s="338"/>
      <c r="Y179" s="338"/>
      <c r="Z179" s="868"/>
      <c r="AA179" s="348"/>
    </row>
    <row r="180" spans="1:28" s="348" customFormat="1" x14ac:dyDescent="0.25">
      <c r="A180" s="258"/>
      <c r="B180" s="258"/>
      <c r="C180" s="794" t="str">
        <f>'[1]2.8 PPPA'!B51</f>
        <v>Penguatan Jejaring antar Lembaga Penyedia Layanan Peningkatan Kualitas Hidup Anak Tingkat Daerah Kabupaten/ Kota</v>
      </c>
      <c r="D180" s="794" t="str">
        <f>'[1]2.8 PPPA'!D51</f>
        <v>Jumlah Dokumen Hasil Penguatan Jejaring Antar Lembaga Penyedia Layanan Peningkatan Kualitas Hidup Anak Kewenangan Kabupaten/ Kota</v>
      </c>
      <c r="E180" s="397">
        <v>18</v>
      </c>
      <c r="F180" s="622"/>
      <c r="G180" s="648">
        <v>250000000</v>
      </c>
      <c r="H180" s="397">
        <v>3</v>
      </c>
      <c r="I180" s="648">
        <v>0</v>
      </c>
      <c r="J180" s="397">
        <v>3</v>
      </c>
      <c r="K180" s="648">
        <f>4494000+238000+6148000+6000000+9000000+24120000</f>
        <v>50000000</v>
      </c>
      <c r="L180" s="397"/>
      <c r="M180" s="648">
        <v>0</v>
      </c>
      <c r="N180" s="397"/>
      <c r="O180" s="648">
        <v>0</v>
      </c>
      <c r="P180" s="398"/>
      <c r="Q180" s="648">
        <v>0</v>
      </c>
      <c r="R180" s="642">
        <v>3</v>
      </c>
      <c r="S180" s="855">
        <f>38180000-Q180-O180-M180</f>
        <v>38180000</v>
      </c>
      <c r="T180" s="642">
        <f>R180+P180+N180+L180</f>
        <v>3</v>
      </c>
      <c r="U180" s="699">
        <f t="shared" si="48"/>
        <v>38180000</v>
      </c>
      <c r="V180" s="399">
        <f t="shared" si="49"/>
        <v>6</v>
      </c>
      <c r="W180" s="287">
        <f t="shared" si="49"/>
        <v>38180000</v>
      </c>
      <c r="X180" s="337">
        <f>V180/E180*100</f>
        <v>33.333333333333329</v>
      </c>
      <c r="Y180" s="337">
        <f>W180/G180*100</f>
        <v>15.272</v>
      </c>
      <c r="Z180" s="874" t="s">
        <v>311</v>
      </c>
      <c r="AA180" s="348" t="s">
        <v>17</v>
      </c>
      <c r="AB180" s="349"/>
    </row>
    <row r="181" spans="1:28" s="348" customFormat="1" ht="69.75" customHeight="1" thickBot="1" x14ac:dyDescent="0.3">
      <c r="A181" s="258"/>
      <c r="B181" s="258"/>
      <c r="C181" s="834"/>
      <c r="D181" s="834"/>
      <c r="E181" s="312"/>
      <c r="F181" s="312" t="s">
        <v>156</v>
      </c>
      <c r="G181" s="671" t="s">
        <v>17</v>
      </c>
      <c r="H181" s="312" t="s">
        <v>156</v>
      </c>
      <c r="I181" s="671"/>
      <c r="J181" s="312" t="s">
        <v>156</v>
      </c>
      <c r="K181" s="671"/>
      <c r="L181" s="312"/>
      <c r="M181" s="671"/>
      <c r="N181" s="312"/>
      <c r="O181" s="671"/>
      <c r="P181" s="216"/>
      <c r="Q181" s="671"/>
      <c r="R181" s="312" t="s">
        <v>156</v>
      </c>
      <c r="S181" s="851"/>
      <c r="T181" s="312" t="s">
        <v>156</v>
      </c>
      <c r="U181" s="400"/>
      <c r="V181" s="401"/>
      <c r="W181" s="285"/>
      <c r="X181" s="381"/>
      <c r="Y181" s="381"/>
      <c r="Z181" s="875"/>
      <c r="AB181" s="349"/>
    </row>
    <row r="182" spans="1:28" s="123" customFormat="1" ht="55.2" x14ac:dyDescent="0.25">
      <c r="A182" s="139"/>
      <c r="B182" s="139"/>
      <c r="C182" s="652" t="s">
        <v>316</v>
      </c>
      <c r="D182" s="652" t="s">
        <v>317</v>
      </c>
      <c r="E182" s="978">
        <v>0.27300000000000002</v>
      </c>
      <c r="F182" s="979" t="s">
        <v>237</v>
      </c>
      <c r="G182" s="980">
        <f>G200+G208+G214</f>
        <v>2090000000</v>
      </c>
      <c r="H182" s="978">
        <v>0.255</v>
      </c>
      <c r="I182" s="980">
        <f>I200+I208+I214</f>
        <v>114815000</v>
      </c>
      <c r="J182" s="978" t="s">
        <v>379</v>
      </c>
      <c r="K182" s="980">
        <f>K200+K208+K214</f>
        <v>506557000</v>
      </c>
      <c r="L182" s="981">
        <v>6.3750000000000001E-2</v>
      </c>
      <c r="M182" s="980">
        <f>M200+M208+M214</f>
        <v>0</v>
      </c>
      <c r="N182" s="981">
        <v>6.3750000000000001E-2</v>
      </c>
      <c r="O182" s="980">
        <f>O200+O208+O214</f>
        <v>51561800</v>
      </c>
      <c r="P182" s="982">
        <v>6.3750000000000001E-2</v>
      </c>
      <c r="Q182" s="980">
        <f>Q200+Q208+Q214</f>
        <v>71177000</v>
      </c>
      <c r="R182" s="982">
        <v>6.3750000000000001E-2</v>
      </c>
      <c r="S182" s="980">
        <f>S200+S208+S214</f>
        <v>288883180</v>
      </c>
      <c r="T182" s="983">
        <f>R182+P182+N182+L182</f>
        <v>0.255</v>
      </c>
      <c r="U182" s="980">
        <f>M182+O182+Q182+S182</f>
        <v>411621980</v>
      </c>
      <c r="V182" s="984">
        <f>H182+T182</f>
        <v>0.51</v>
      </c>
      <c r="W182" s="980">
        <f>I182+U182</f>
        <v>526436980</v>
      </c>
      <c r="X182" s="181">
        <f>V182/E182*100</f>
        <v>186.8131868131868</v>
      </c>
      <c r="Y182" s="181">
        <f>W182/G182*100</f>
        <v>25.188372248803827</v>
      </c>
      <c r="Z182" s="985" t="s">
        <v>311</v>
      </c>
      <c r="AA182" s="130"/>
    </row>
    <row r="183" spans="1:28" s="123" customFormat="1" x14ac:dyDescent="0.25">
      <c r="A183" s="986"/>
      <c r="B183" s="986"/>
      <c r="C183" s="987"/>
      <c r="D183" s="987"/>
      <c r="E183" s="988"/>
      <c r="F183" s="989"/>
      <c r="G183" s="990"/>
      <c r="H183" s="988"/>
      <c r="I183" s="990"/>
      <c r="J183" s="988"/>
      <c r="K183" s="990"/>
      <c r="L183" s="991"/>
      <c r="M183" s="990"/>
      <c r="N183" s="991"/>
      <c r="O183" s="990"/>
      <c r="P183" s="992"/>
      <c r="Q183" s="990"/>
      <c r="R183" s="992"/>
      <c r="S183" s="990"/>
      <c r="T183" s="993"/>
      <c r="U183" s="990"/>
      <c r="V183" s="994"/>
      <c r="W183" s="990"/>
      <c r="X183" s="995"/>
      <c r="Y183" s="995"/>
      <c r="Z183" s="996"/>
      <c r="AA183" s="130"/>
    </row>
    <row r="184" spans="1:28" s="123" customFormat="1" x14ac:dyDescent="0.25">
      <c r="A184" s="997"/>
      <c r="B184" s="997"/>
      <c r="C184" s="998"/>
      <c r="D184" s="998"/>
      <c r="E184" s="999"/>
      <c r="F184" s="1000"/>
      <c r="G184" s="1001"/>
      <c r="H184" s="999"/>
      <c r="I184" s="1001"/>
      <c r="J184" s="999"/>
      <c r="K184" s="1001"/>
      <c r="L184" s="1002"/>
      <c r="M184" s="1001"/>
      <c r="N184" s="1002"/>
      <c r="O184" s="1001"/>
      <c r="P184" s="1003"/>
      <c r="Q184" s="1001"/>
      <c r="R184" s="1003"/>
      <c r="S184" s="1001"/>
      <c r="T184" s="1004"/>
      <c r="U184" s="1001"/>
      <c r="V184" s="1005"/>
      <c r="W184" s="1001"/>
      <c r="X184" s="1006"/>
      <c r="Y184" s="1006"/>
      <c r="Z184" s="1007"/>
      <c r="AA184" s="130"/>
    </row>
    <row r="185" spans="1:28" s="123" customFormat="1" x14ac:dyDescent="0.25">
      <c r="A185" s="997"/>
      <c r="B185" s="997"/>
      <c r="C185" s="998"/>
      <c r="D185" s="998"/>
      <c r="E185" s="999"/>
      <c r="F185" s="1000"/>
      <c r="G185" s="1001"/>
      <c r="H185" s="999"/>
      <c r="I185" s="1001"/>
      <c r="J185" s="999"/>
      <c r="K185" s="1001"/>
      <c r="L185" s="1002"/>
      <c r="M185" s="1001"/>
      <c r="N185" s="1002"/>
      <c r="O185" s="1001"/>
      <c r="P185" s="1003"/>
      <c r="Q185" s="1001"/>
      <c r="R185" s="1003"/>
      <c r="S185" s="1001"/>
      <c r="T185" s="1004"/>
      <c r="U185" s="1001"/>
      <c r="V185" s="1005"/>
      <c r="W185" s="1001"/>
      <c r="X185" s="1006"/>
      <c r="Y185" s="1006"/>
      <c r="Z185" s="1007"/>
      <c r="AA185" s="130"/>
    </row>
    <row r="186" spans="1:28" s="123" customFormat="1" x14ac:dyDescent="0.25">
      <c r="A186" s="997"/>
      <c r="B186" s="997"/>
      <c r="C186" s="998"/>
      <c r="D186" s="998"/>
      <c r="E186" s="999"/>
      <c r="F186" s="1000"/>
      <c r="G186" s="1001"/>
      <c r="H186" s="999"/>
      <c r="I186" s="1001"/>
      <c r="J186" s="999"/>
      <c r="K186" s="1001"/>
      <c r="L186" s="1002"/>
      <c r="M186" s="1001"/>
      <c r="N186" s="1002"/>
      <c r="O186" s="1001"/>
      <c r="P186" s="1003"/>
      <c r="Q186" s="1001"/>
      <c r="R186" s="1003"/>
      <c r="S186" s="1001"/>
      <c r="T186" s="1004"/>
      <c r="U186" s="1001"/>
      <c r="V186" s="1005"/>
      <c r="W186" s="1001"/>
      <c r="X186" s="1006"/>
      <c r="Y186" s="1006"/>
      <c r="Z186" s="1007"/>
      <c r="AA186" s="130"/>
    </row>
    <row r="187" spans="1:28" s="123" customFormat="1" x14ac:dyDescent="0.25">
      <c r="A187" s="997"/>
      <c r="B187" s="997"/>
      <c r="C187" s="998"/>
      <c r="D187" s="998"/>
      <c r="E187" s="999"/>
      <c r="F187" s="1000"/>
      <c r="G187" s="1001"/>
      <c r="H187" s="999"/>
      <c r="I187" s="1001"/>
      <c r="J187" s="999"/>
      <c r="K187" s="1001"/>
      <c r="L187" s="1002"/>
      <c r="M187" s="1001"/>
      <c r="N187" s="1002"/>
      <c r="O187" s="1001"/>
      <c r="P187" s="1003"/>
      <c r="Q187" s="1001"/>
      <c r="R187" s="1003"/>
      <c r="S187" s="1001"/>
      <c r="T187" s="1004"/>
      <c r="U187" s="1001"/>
      <c r="V187" s="1005"/>
      <c r="W187" s="1001"/>
      <c r="X187" s="1006"/>
      <c r="Y187" s="1006"/>
      <c r="Z187" s="1007"/>
      <c r="AA187" s="130"/>
    </row>
    <row r="188" spans="1:28" s="123" customFormat="1" x14ac:dyDescent="0.25">
      <c r="A188" s="997"/>
      <c r="B188" s="997"/>
      <c r="C188" s="998"/>
      <c r="D188" s="998"/>
      <c r="E188" s="999"/>
      <c r="F188" s="1000"/>
      <c r="G188" s="1001"/>
      <c r="H188" s="999"/>
      <c r="I188" s="1001"/>
      <c r="J188" s="999"/>
      <c r="K188" s="1001"/>
      <c r="L188" s="1002"/>
      <c r="M188" s="1001"/>
      <c r="N188" s="1002"/>
      <c r="O188" s="1001"/>
      <c r="P188" s="1003"/>
      <c r="Q188" s="1001"/>
      <c r="R188" s="1003"/>
      <c r="S188" s="1001"/>
      <c r="T188" s="1004"/>
      <c r="U188" s="1001"/>
      <c r="V188" s="1005"/>
      <c r="W188" s="1001"/>
      <c r="X188" s="1006"/>
      <c r="Y188" s="1006"/>
      <c r="Z188" s="1007"/>
      <c r="AA188" s="130"/>
    </row>
    <row r="189" spans="1:28" s="123" customFormat="1" x14ac:dyDescent="0.25">
      <c r="A189" s="997"/>
      <c r="B189" s="997"/>
      <c r="C189" s="998"/>
      <c r="D189" s="998"/>
      <c r="E189" s="999"/>
      <c r="F189" s="1000"/>
      <c r="G189" s="1001"/>
      <c r="H189" s="999"/>
      <c r="I189" s="1001"/>
      <c r="J189" s="999"/>
      <c r="K189" s="1001"/>
      <c r="L189" s="1002"/>
      <c r="M189" s="1001"/>
      <c r="N189" s="1002"/>
      <c r="O189" s="1001"/>
      <c r="P189" s="1003"/>
      <c r="Q189" s="1001"/>
      <c r="R189" s="1003"/>
      <c r="S189" s="1001"/>
      <c r="T189" s="1004"/>
      <c r="U189" s="1001"/>
      <c r="V189" s="1005"/>
      <c r="W189" s="1001"/>
      <c r="X189" s="1006"/>
      <c r="Y189" s="1006"/>
      <c r="Z189" s="1007"/>
      <c r="AA189" s="130"/>
    </row>
    <row r="190" spans="1:28" s="123" customFormat="1" x14ac:dyDescent="0.25">
      <c r="A190" s="997"/>
      <c r="B190" s="997"/>
      <c r="C190" s="998"/>
      <c r="D190" s="998"/>
      <c r="E190" s="999"/>
      <c r="F190" s="1000"/>
      <c r="G190" s="1001"/>
      <c r="H190" s="999"/>
      <c r="I190" s="1001"/>
      <c r="J190" s="999"/>
      <c r="K190" s="1001"/>
      <c r="L190" s="1002"/>
      <c r="M190" s="1001"/>
      <c r="N190" s="1002"/>
      <c r="O190" s="1001"/>
      <c r="P190" s="1003"/>
      <c r="Q190" s="1001"/>
      <c r="R190" s="1003"/>
      <c r="S190" s="1001"/>
      <c r="T190" s="1004"/>
      <c r="U190" s="1001"/>
      <c r="V190" s="1005"/>
      <c r="W190" s="1001"/>
      <c r="X190" s="1006"/>
      <c r="Y190" s="1006"/>
      <c r="Z190" s="1007"/>
      <c r="AA190" s="130"/>
    </row>
    <row r="191" spans="1:28" s="123" customFormat="1" x14ac:dyDescent="0.25">
      <c r="A191" s="997"/>
      <c r="B191" s="997"/>
      <c r="C191" s="998"/>
      <c r="D191" s="998"/>
      <c r="E191" s="999"/>
      <c r="F191" s="1000"/>
      <c r="G191" s="1001"/>
      <c r="H191" s="999"/>
      <c r="I191" s="1001"/>
      <c r="J191" s="999"/>
      <c r="K191" s="1001"/>
      <c r="L191" s="1002"/>
      <c r="M191" s="1001"/>
      <c r="N191" s="1002"/>
      <c r="O191" s="1001"/>
      <c r="P191" s="1003"/>
      <c r="Q191" s="1001"/>
      <c r="R191" s="1003"/>
      <c r="S191" s="1001"/>
      <c r="T191" s="1004"/>
      <c r="U191" s="1001"/>
      <c r="V191" s="1005"/>
      <c r="W191" s="1001"/>
      <c r="X191" s="1006"/>
      <c r="Y191" s="1006"/>
      <c r="Z191" s="1007"/>
      <c r="AA191" s="130"/>
    </row>
    <row r="192" spans="1:28" s="123" customFormat="1" x14ac:dyDescent="0.25">
      <c r="A192" s="997"/>
      <c r="B192" s="997"/>
      <c r="C192" s="998"/>
      <c r="D192" s="998"/>
      <c r="E192" s="999"/>
      <c r="F192" s="1000"/>
      <c r="G192" s="1001"/>
      <c r="H192" s="999"/>
      <c r="I192" s="1001"/>
      <c r="J192" s="999"/>
      <c r="K192" s="1001"/>
      <c r="L192" s="1002"/>
      <c r="M192" s="1001"/>
      <c r="N192" s="1002"/>
      <c r="O192" s="1001"/>
      <c r="P192" s="1003"/>
      <c r="Q192" s="1001"/>
      <c r="R192" s="1003"/>
      <c r="S192" s="1001"/>
      <c r="T192" s="1004"/>
      <c r="U192" s="1001"/>
      <c r="V192" s="1005"/>
      <c r="W192" s="1001"/>
      <c r="X192" s="1006"/>
      <c r="Y192" s="1006"/>
      <c r="Z192" s="1007"/>
      <c r="AA192" s="130"/>
    </row>
    <row r="193" spans="1:28" s="123" customFormat="1" x14ac:dyDescent="0.25">
      <c r="A193" s="997"/>
      <c r="B193" s="997"/>
      <c r="C193" s="998"/>
      <c r="D193" s="998"/>
      <c r="E193" s="999"/>
      <c r="F193" s="1000"/>
      <c r="G193" s="1001"/>
      <c r="H193" s="999"/>
      <c r="I193" s="1001"/>
      <c r="J193" s="999"/>
      <c r="K193" s="1001"/>
      <c r="L193" s="1002"/>
      <c r="M193" s="1001"/>
      <c r="N193" s="1002"/>
      <c r="O193" s="1001"/>
      <c r="P193" s="1003"/>
      <c r="Q193" s="1001"/>
      <c r="R193" s="1003"/>
      <c r="S193" s="1001"/>
      <c r="T193" s="1004"/>
      <c r="U193" s="1001"/>
      <c r="V193" s="1005"/>
      <c r="W193" s="1001"/>
      <c r="X193" s="1006"/>
      <c r="Y193" s="1006"/>
      <c r="Z193" s="1007"/>
      <c r="AA193" s="130"/>
    </row>
    <row r="194" spans="1:28" s="123" customFormat="1" x14ac:dyDescent="0.25">
      <c r="A194" s="1008"/>
      <c r="B194" s="1008"/>
      <c r="C194" s="1009"/>
      <c r="D194" s="1009"/>
      <c r="E194" s="1010"/>
      <c r="F194" s="1011"/>
      <c r="G194" s="1012"/>
      <c r="H194" s="1010"/>
      <c r="I194" s="1012"/>
      <c r="J194" s="1010"/>
      <c r="K194" s="1012"/>
      <c r="L194" s="1013"/>
      <c r="M194" s="1012"/>
      <c r="N194" s="1013"/>
      <c r="O194" s="1012"/>
      <c r="P194" s="1014"/>
      <c r="Q194" s="1012"/>
      <c r="R194" s="1014"/>
      <c r="S194" s="1012"/>
      <c r="T194" s="1015"/>
      <c r="U194" s="1012"/>
      <c r="V194" s="1016"/>
      <c r="W194" s="1012"/>
      <c r="X194" s="1017"/>
      <c r="Y194" s="1017"/>
      <c r="Z194" s="1018"/>
      <c r="AA194" s="130"/>
    </row>
    <row r="195" spans="1:28" s="133" customFormat="1" x14ac:dyDescent="0.25">
      <c r="A195" s="776" t="s">
        <v>197</v>
      </c>
      <c r="B195" s="776" t="s">
        <v>246</v>
      </c>
      <c r="C195" s="776" t="s">
        <v>250</v>
      </c>
      <c r="D195" s="776" t="s">
        <v>251</v>
      </c>
      <c r="E195" s="767" t="s">
        <v>350</v>
      </c>
      <c r="F195" s="938"/>
      <c r="G195" s="768"/>
      <c r="H195" s="767" t="s">
        <v>372</v>
      </c>
      <c r="I195" s="768"/>
      <c r="J195" s="767" t="s">
        <v>368</v>
      </c>
      <c r="K195" s="768"/>
      <c r="L195" s="787" t="s">
        <v>383</v>
      </c>
      <c r="M195" s="939"/>
      <c r="N195" s="939"/>
      <c r="O195" s="939"/>
      <c r="P195" s="939"/>
      <c r="Q195" s="939"/>
      <c r="R195" s="939"/>
      <c r="S195" s="788"/>
      <c r="T195" s="767" t="s">
        <v>370</v>
      </c>
      <c r="U195" s="768"/>
      <c r="V195" s="767" t="s">
        <v>374</v>
      </c>
      <c r="W195" s="768"/>
      <c r="X195" s="767" t="s">
        <v>547</v>
      </c>
      <c r="Y195" s="768"/>
      <c r="Z195" s="777" t="s">
        <v>252</v>
      </c>
      <c r="AB195" s="124"/>
    </row>
    <row r="196" spans="1:28" s="133" customFormat="1" x14ac:dyDescent="0.25">
      <c r="A196" s="776"/>
      <c r="B196" s="776"/>
      <c r="C196" s="776"/>
      <c r="D196" s="776"/>
      <c r="E196" s="767"/>
      <c r="F196" s="780"/>
      <c r="G196" s="768"/>
      <c r="H196" s="767"/>
      <c r="I196" s="768"/>
      <c r="J196" s="767"/>
      <c r="K196" s="768"/>
      <c r="L196" s="785" t="s">
        <v>353</v>
      </c>
      <c r="M196" s="786"/>
      <c r="N196" s="789" t="s">
        <v>354</v>
      </c>
      <c r="O196" s="790"/>
      <c r="P196" s="789" t="s">
        <v>355</v>
      </c>
      <c r="Q196" s="790"/>
      <c r="R196" s="789" t="s">
        <v>356</v>
      </c>
      <c r="S196" s="790"/>
      <c r="T196" s="767"/>
      <c r="U196" s="768"/>
      <c r="V196" s="767"/>
      <c r="W196" s="768"/>
      <c r="X196" s="767"/>
      <c r="Y196" s="768"/>
      <c r="Z196" s="783"/>
      <c r="AB196" s="124"/>
    </row>
    <row r="197" spans="1:28" s="133" customFormat="1" ht="33.75" customHeight="1" x14ac:dyDescent="0.25">
      <c r="A197" s="776"/>
      <c r="B197" s="776"/>
      <c r="C197" s="776"/>
      <c r="D197" s="776"/>
      <c r="E197" s="769"/>
      <c r="F197" s="781"/>
      <c r="G197" s="770"/>
      <c r="H197" s="769"/>
      <c r="I197" s="770"/>
      <c r="J197" s="769"/>
      <c r="K197" s="770"/>
      <c r="L197" s="787"/>
      <c r="M197" s="788"/>
      <c r="N197" s="791"/>
      <c r="O197" s="792"/>
      <c r="P197" s="791"/>
      <c r="Q197" s="792"/>
      <c r="R197" s="791"/>
      <c r="S197" s="792"/>
      <c r="T197" s="769"/>
      <c r="U197" s="770"/>
      <c r="V197" s="769"/>
      <c r="W197" s="770"/>
      <c r="X197" s="769"/>
      <c r="Y197" s="770"/>
      <c r="Z197" s="783"/>
      <c r="AA197" s="134"/>
      <c r="AB197" s="124"/>
    </row>
    <row r="198" spans="1:28" s="173" customFormat="1" ht="21.75" customHeight="1" thickBot="1" x14ac:dyDescent="0.3">
      <c r="A198" s="777"/>
      <c r="B198" s="778"/>
      <c r="C198" s="778"/>
      <c r="D198" s="778"/>
      <c r="E198" s="161" t="s">
        <v>234</v>
      </c>
      <c r="F198" s="161" t="s">
        <v>235</v>
      </c>
      <c r="G198" s="161" t="s">
        <v>351</v>
      </c>
      <c r="H198" s="161" t="s">
        <v>234</v>
      </c>
      <c r="I198" s="161" t="s">
        <v>352</v>
      </c>
      <c r="J198" s="161" t="s">
        <v>234</v>
      </c>
      <c r="K198" s="161" t="s">
        <v>352</v>
      </c>
      <c r="L198" s="161" t="s">
        <v>234</v>
      </c>
      <c r="M198" s="619" t="s">
        <v>242</v>
      </c>
      <c r="N198" s="161" t="s">
        <v>234</v>
      </c>
      <c r="O198" s="619" t="s">
        <v>242</v>
      </c>
      <c r="P198" s="161" t="s">
        <v>234</v>
      </c>
      <c r="Q198" s="619" t="s">
        <v>242</v>
      </c>
      <c r="R198" s="161" t="s">
        <v>234</v>
      </c>
      <c r="S198" s="619" t="s">
        <v>242</v>
      </c>
      <c r="T198" s="619" t="s">
        <v>74</v>
      </c>
      <c r="U198" s="619" t="s">
        <v>242</v>
      </c>
      <c r="V198" s="619" t="s">
        <v>74</v>
      </c>
      <c r="W198" s="619" t="s">
        <v>242</v>
      </c>
      <c r="X198" s="619" t="s">
        <v>74</v>
      </c>
      <c r="Y198" s="241" t="s">
        <v>242</v>
      </c>
      <c r="Z198" s="784"/>
      <c r="AB198" s="174"/>
    </row>
    <row r="199" spans="1:28" s="133" customFormat="1" ht="14.4" thickBot="1" x14ac:dyDescent="0.35">
      <c r="A199" s="162">
        <v>1</v>
      </c>
      <c r="B199" s="162">
        <v>2</v>
      </c>
      <c r="C199" s="163">
        <v>3</v>
      </c>
      <c r="D199" s="163">
        <v>4</v>
      </c>
      <c r="E199" s="809">
        <v>5</v>
      </c>
      <c r="F199" s="810"/>
      <c r="G199" s="811"/>
      <c r="H199" s="809">
        <v>6</v>
      </c>
      <c r="I199" s="811"/>
      <c r="J199" s="809">
        <v>7</v>
      </c>
      <c r="K199" s="811"/>
      <c r="L199" s="803">
        <v>8</v>
      </c>
      <c r="M199" s="804"/>
      <c r="N199" s="803">
        <v>9</v>
      </c>
      <c r="O199" s="804"/>
      <c r="P199" s="803">
        <v>10</v>
      </c>
      <c r="Q199" s="804"/>
      <c r="R199" s="803">
        <v>11</v>
      </c>
      <c r="S199" s="804"/>
      <c r="T199" s="803">
        <v>12</v>
      </c>
      <c r="U199" s="804"/>
      <c r="V199" s="805" t="s">
        <v>243</v>
      </c>
      <c r="W199" s="806"/>
      <c r="X199" s="805" t="s">
        <v>244</v>
      </c>
      <c r="Y199" s="806"/>
      <c r="Z199" s="618">
        <v>15</v>
      </c>
      <c r="AB199" s="124"/>
    </row>
    <row r="200" spans="1:28" s="125" customFormat="1" x14ac:dyDescent="0.25">
      <c r="A200" s="139"/>
      <c r="B200" s="139"/>
      <c r="C200" s="846" t="str">
        <f>'[1]2.8 PPPA'!B53</f>
        <v>Pencegahan Kekerasan Terhadap Anak yang Melibatkan para Pihak Lingkup Daerah Kabupaten/Kota</v>
      </c>
      <c r="D200" s="846" t="s">
        <v>318</v>
      </c>
      <c r="E200" s="568">
        <v>2</v>
      </c>
      <c r="F200" s="553"/>
      <c r="G200" s="568">
        <f>SUM(G202:G207)</f>
        <v>730000000</v>
      </c>
      <c r="H200" s="553">
        <v>8</v>
      </c>
      <c r="I200" s="568">
        <f>SUM(I202:I207)</f>
        <v>0</v>
      </c>
      <c r="J200" s="553">
        <v>2</v>
      </c>
      <c r="K200" s="568">
        <f>SUM(K202:K207)</f>
        <v>185588000</v>
      </c>
      <c r="L200" s="634">
        <v>0</v>
      </c>
      <c r="M200" s="568">
        <f>SUM(M202:M207)</f>
        <v>0</v>
      </c>
      <c r="N200" s="553">
        <v>0.5</v>
      </c>
      <c r="O200" s="568">
        <f>SUM(O202:O207)</f>
        <v>46308000</v>
      </c>
      <c r="P200" s="687">
        <v>0.5</v>
      </c>
      <c r="Q200" s="568">
        <f>SUM(Q202:Q207)</f>
        <v>39848000</v>
      </c>
      <c r="R200" s="481">
        <v>1</v>
      </c>
      <c r="S200" s="569">
        <f>SUM(S202:S207)</f>
        <v>86177000</v>
      </c>
      <c r="T200" s="542">
        <f>R200+P200+N200+L200</f>
        <v>2</v>
      </c>
      <c r="U200" s="568">
        <f>M200+O200+Q200+S200</f>
        <v>172333000</v>
      </c>
      <c r="V200" s="481">
        <f>H200+T200</f>
        <v>10</v>
      </c>
      <c r="W200" s="568">
        <f>I200+U200</f>
        <v>172333000</v>
      </c>
      <c r="X200" s="544">
        <f>V200/E200*100</f>
        <v>500</v>
      </c>
      <c r="Y200" s="544">
        <f>W200/G200*100</f>
        <v>23.607260273972603</v>
      </c>
      <c r="Z200" s="869" t="s">
        <v>311</v>
      </c>
      <c r="AA200" s="131"/>
    </row>
    <row r="201" spans="1:28" s="125" customFormat="1" ht="57.75" customHeight="1" x14ac:dyDescent="0.25">
      <c r="A201" s="139"/>
      <c r="B201" s="139"/>
      <c r="C201" s="847"/>
      <c r="D201" s="847"/>
      <c r="E201" s="625"/>
      <c r="F201" s="625" t="s">
        <v>319</v>
      </c>
      <c r="G201" s="568"/>
      <c r="H201" s="625" t="s">
        <v>319</v>
      </c>
      <c r="I201" s="568"/>
      <c r="J201" s="625" t="s">
        <v>319</v>
      </c>
      <c r="K201" s="568"/>
      <c r="L201" s="625" t="s">
        <v>319</v>
      </c>
      <c r="M201" s="568"/>
      <c r="N201" s="625" t="s">
        <v>319</v>
      </c>
      <c r="O201" s="568"/>
      <c r="P201" s="625" t="s">
        <v>319</v>
      </c>
      <c r="Q201" s="568"/>
      <c r="R201" s="625" t="s">
        <v>319</v>
      </c>
      <c r="S201" s="568"/>
      <c r="T201" s="625" t="s">
        <v>319</v>
      </c>
      <c r="U201" s="568"/>
      <c r="V201" s="489"/>
      <c r="W201" s="568"/>
      <c r="X201" s="532"/>
      <c r="Y201" s="532"/>
      <c r="Z201" s="876"/>
      <c r="AA201" s="260"/>
    </row>
    <row r="202" spans="1:28" s="349" customFormat="1" x14ac:dyDescent="0.25">
      <c r="A202" s="250"/>
      <c r="B202" s="250"/>
      <c r="C202" s="794" t="str">
        <f>'[1]2.8 PPPA'!B54</f>
        <v>Advokasi Kebijakan dan Pendampingan Pelaksanaan Kebijakan, Program dan Kegiatan Pencegahan Kekerasan Terhadap Anak Kewenangan Kabupaten/ Kota</v>
      </c>
      <c r="D202" s="794" t="str">
        <f>'[1]2.8 PPPA'!D54</f>
        <v>Jumlah Perangkat Daerah yang Mendapat Advokasi Kebijakan dan Pendampingan Pelaksanaan Kebijakan, Program dan Kegiatan Pencegahan Kekerasan Terhadap Anak Kewenangan Kabupaten/ Kota</v>
      </c>
      <c r="E202" s="648">
        <v>50</v>
      </c>
      <c r="F202" s="237"/>
      <c r="G202" s="648">
        <v>420000000</v>
      </c>
      <c r="H202" s="237">
        <v>10</v>
      </c>
      <c r="I202" s="648">
        <v>0</v>
      </c>
      <c r="J202" s="237">
        <v>10</v>
      </c>
      <c r="K202" s="648">
        <f>1870000+310000+3100000+3750000+4000000+15770000</f>
        <v>28800000</v>
      </c>
      <c r="L202" s="448">
        <v>0</v>
      </c>
      <c r="M202" s="688">
        <v>0</v>
      </c>
      <c r="N202" s="448">
        <v>0</v>
      </c>
      <c r="O202" s="688">
        <v>0</v>
      </c>
      <c r="P202" s="689">
        <v>0</v>
      </c>
      <c r="Q202" s="688">
        <f>0-O202-M202</f>
        <v>0</v>
      </c>
      <c r="R202" s="662">
        <v>10</v>
      </c>
      <c r="S202" s="855">
        <f>26465000-Q202-O202-M202</f>
        <v>26465000</v>
      </c>
      <c r="T202" s="642">
        <f>R202+P202+N202+L202</f>
        <v>10</v>
      </c>
      <c r="U202" s="648">
        <f>M202+O202+Q202+S202</f>
        <v>26465000</v>
      </c>
      <c r="V202" s="662">
        <f>H202+T202</f>
        <v>20</v>
      </c>
      <c r="W202" s="648">
        <f>SUM(I202+U202)</f>
        <v>26465000</v>
      </c>
      <c r="X202" s="363">
        <f>V201/E202*100</f>
        <v>0</v>
      </c>
      <c r="Y202" s="363">
        <f>W202/G202*100</f>
        <v>6.3011904761904756</v>
      </c>
      <c r="Z202" s="796" t="s">
        <v>311</v>
      </c>
      <c r="AA202" s="348"/>
    </row>
    <row r="203" spans="1:28" s="349" customFormat="1" ht="93" customHeight="1" x14ac:dyDescent="0.25">
      <c r="A203" s="250"/>
      <c r="B203" s="250"/>
      <c r="C203" s="795"/>
      <c r="D203" s="795"/>
      <c r="E203" s="307"/>
      <c r="F203" s="307" t="s">
        <v>239</v>
      </c>
      <c r="G203" s="649" t="s">
        <v>17</v>
      </c>
      <c r="H203" s="307" t="s">
        <v>289</v>
      </c>
      <c r="I203" s="649"/>
      <c r="J203" s="307" t="s">
        <v>289</v>
      </c>
      <c r="K203" s="649"/>
      <c r="L203" s="307" t="s">
        <v>289</v>
      </c>
      <c r="M203" s="649"/>
      <c r="N203" s="307" t="s">
        <v>289</v>
      </c>
      <c r="O203" s="649"/>
      <c r="P203" s="307" t="s">
        <v>289</v>
      </c>
      <c r="Q203" s="649"/>
      <c r="R203" s="307" t="s">
        <v>289</v>
      </c>
      <c r="S203" s="852"/>
      <c r="T203" s="307" t="s">
        <v>289</v>
      </c>
      <c r="U203" s="649"/>
      <c r="V203" s="199"/>
      <c r="W203" s="649"/>
      <c r="X203" s="368"/>
      <c r="Y203" s="368"/>
      <c r="Z203" s="797"/>
      <c r="AA203" s="348"/>
    </row>
    <row r="204" spans="1:28" s="349" customFormat="1" ht="30.75" hidden="1" customHeight="1" x14ac:dyDescent="0.25">
      <c r="A204" s="250"/>
      <c r="B204" s="250"/>
      <c r="C204" s="873" t="s">
        <v>495</v>
      </c>
      <c r="D204" s="818" t="s">
        <v>496</v>
      </c>
      <c r="E204" s="237">
        <v>15</v>
      </c>
      <c r="F204" s="237"/>
      <c r="G204" s="648">
        <v>0</v>
      </c>
      <c r="H204" s="237">
        <v>15</v>
      </c>
      <c r="I204" s="648">
        <v>0</v>
      </c>
      <c r="J204" s="237"/>
      <c r="K204" s="648">
        <v>0</v>
      </c>
      <c r="L204" s="237"/>
      <c r="M204" s="648">
        <v>0</v>
      </c>
      <c r="N204" s="237"/>
      <c r="O204" s="648">
        <v>0</v>
      </c>
      <c r="P204" s="198"/>
      <c r="Q204" s="648">
        <f>0</f>
        <v>0</v>
      </c>
      <c r="R204" s="198"/>
      <c r="S204" s="642"/>
      <c r="T204" s="642">
        <f>R204+P204+N204+L204</f>
        <v>0</v>
      </c>
      <c r="U204" s="648">
        <f>M204+O204+Q204+S204</f>
        <v>0</v>
      </c>
      <c r="V204" s="198">
        <f>H204+T204</f>
        <v>15</v>
      </c>
      <c r="W204" s="671">
        <f t="shared" ref="W204:W206" si="52">SUM(I204+U204)</f>
        <v>0</v>
      </c>
      <c r="X204" s="363">
        <f t="shared" ref="X204" si="53">V203/E204*100%</f>
        <v>0</v>
      </c>
      <c r="Y204" s="363"/>
      <c r="Z204" s="796" t="s">
        <v>311</v>
      </c>
      <c r="AA204" s="348"/>
    </row>
    <row r="205" spans="1:28" s="349" customFormat="1" ht="40.5" hidden="1" customHeight="1" x14ac:dyDescent="0.25">
      <c r="A205" s="250"/>
      <c r="B205" s="250"/>
      <c r="C205" s="819"/>
      <c r="D205" s="819"/>
      <c r="E205" s="307"/>
      <c r="F205" s="307" t="s">
        <v>156</v>
      </c>
      <c r="G205" s="649"/>
      <c r="H205" s="307" t="s">
        <v>156</v>
      </c>
      <c r="I205" s="649"/>
      <c r="J205" s="307"/>
      <c r="K205" s="649"/>
      <c r="L205" s="307"/>
      <c r="M205" s="649"/>
      <c r="N205" s="307"/>
      <c r="O205" s="649"/>
      <c r="P205" s="199"/>
      <c r="Q205" s="649"/>
      <c r="R205" s="199"/>
      <c r="S205" s="639"/>
      <c r="T205" s="199"/>
      <c r="U205" s="649"/>
      <c r="V205" s="199"/>
      <c r="W205" s="649"/>
      <c r="X205" s="368"/>
      <c r="Y205" s="368"/>
      <c r="Z205" s="797"/>
      <c r="AA205" s="348"/>
    </row>
    <row r="206" spans="1:28" s="349" customFormat="1" ht="18" customHeight="1" x14ac:dyDescent="0.25">
      <c r="A206" s="250"/>
      <c r="B206" s="250"/>
      <c r="C206" s="818" t="s">
        <v>433</v>
      </c>
      <c r="D206" s="818" t="s">
        <v>434</v>
      </c>
      <c r="E206" s="312">
        <v>85</v>
      </c>
      <c r="F206" s="312"/>
      <c r="G206" s="671">
        <v>310000000</v>
      </c>
      <c r="H206" s="312"/>
      <c r="I206" s="671"/>
      <c r="J206" s="312">
        <v>15</v>
      </c>
      <c r="K206" s="671">
        <v>156788000</v>
      </c>
      <c r="L206" s="458">
        <v>0</v>
      </c>
      <c r="M206" s="671">
        <v>0</v>
      </c>
      <c r="N206" s="312">
        <v>5</v>
      </c>
      <c r="O206" s="671">
        <f>1358000+3450000+17500000+900000+22600000+500000-M206</f>
        <v>46308000</v>
      </c>
      <c r="P206" s="216">
        <v>4</v>
      </c>
      <c r="Q206" s="671">
        <f>86156000-O206-M206</f>
        <v>39848000</v>
      </c>
      <c r="R206" s="216">
        <v>6</v>
      </c>
      <c r="S206" s="638">
        <f>145868000-Q206-O206-M206</f>
        <v>59712000</v>
      </c>
      <c r="T206" s="642">
        <f>R206+P206+N206+L206</f>
        <v>15</v>
      </c>
      <c r="U206" s="671">
        <f>M206+O206+Q206+S206</f>
        <v>145868000</v>
      </c>
      <c r="V206" s="663">
        <f>H206+T206</f>
        <v>15</v>
      </c>
      <c r="W206" s="671">
        <f t="shared" si="52"/>
        <v>145868000</v>
      </c>
      <c r="X206" s="363">
        <f>V205/E206*100</f>
        <v>0</v>
      </c>
      <c r="Y206" s="363">
        <f>W206/G206*100</f>
        <v>47.054193548387097</v>
      </c>
      <c r="Z206" s="796" t="s">
        <v>311</v>
      </c>
      <c r="AA206" s="348"/>
    </row>
    <row r="207" spans="1:28" s="349" customFormat="1" ht="32.25" customHeight="1" x14ac:dyDescent="0.25">
      <c r="A207" s="250"/>
      <c r="B207" s="250"/>
      <c r="C207" s="819"/>
      <c r="D207" s="819"/>
      <c r="E207" s="312"/>
      <c r="F207" s="312" t="s">
        <v>156</v>
      </c>
      <c r="G207" s="671"/>
      <c r="H207" s="312"/>
      <c r="I207" s="671"/>
      <c r="J207" s="312" t="s">
        <v>156</v>
      </c>
      <c r="K207" s="671"/>
      <c r="L207" s="312" t="s">
        <v>156</v>
      </c>
      <c r="M207" s="671"/>
      <c r="N207" s="312" t="s">
        <v>156</v>
      </c>
      <c r="O207" s="671"/>
      <c r="P207" s="312" t="s">
        <v>156</v>
      </c>
      <c r="Q207" s="671"/>
      <c r="R207" s="312" t="s">
        <v>156</v>
      </c>
      <c r="S207" s="638"/>
      <c r="T207" s="307" t="s">
        <v>156</v>
      </c>
      <c r="U207" s="671"/>
      <c r="V207" s="216"/>
      <c r="W207" s="649"/>
      <c r="X207" s="368"/>
      <c r="Y207" s="368"/>
      <c r="Z207" s="797"/>
      <c r="AA207" s="348"/>
    </row>
    <row r="208" spans="1:28" s="131" customFormat="1" x14ac:dyDescent="0.25">
      <c r="A208" s="715"/>
      <c r="B208" s="274"/>
      <c r="C208" s="871" t="str">
        <f>'[1]2.8 PPPA'!B56</f>
        <v>Penyediaan Layanan bagi Anak yang Memerlukan Perlindungan Khusus yang Memerlukan Koordinasi Tingkat Daerah Kabupaten/ Kota</v>
      </c>
      <c r="D208" s="871" t="s">
        <v>320</v>
      </c>
      <c r="E208" s="651">
        <v>30</v>
      </c>
      <c r="F208" s="651"/>
      <c r="G208" s="636">
        <f>SUM(G210:G213)</f>
        <v>340000000</v>
      </c>
      <c r="H208" s="651">
        <v>35</v>
      </c>
      <c r="I208" s="636">
        <f>SUM(I210:I212)</f>
        <v>0</v>
      </c>
      <c r="J208" s="651">
        <v>30</v>
      </c>
      <c r="K208" s="636">
        <f>SUM(K210:K213)</f>
        <v>215869000</v>
      </c>
      <c r="L208" s="690">
        <v>0</v>
      </c>
      <c r="M208" s="636">
        <f>SUM(M210:M213)</f>
        <v>0</v>
      </c>
      <c r="N208" s="651">
        <v>10</v>
      </c>
      <c r="O208" s="636">
        <f>SUM(O210:O212)</f>
        <v>5253800</v>
      </c>
      <c r="P208" s="535">
        <v>10</v>
      </c>
      <c r="Q208" s="636">
        <f>SUM(Q210:Q213)</f>
        <v>3979000</v>
      </c>
      <c r="R208" s="481">
        <v>10</v>
      </c>
      <c r="S208" s="569">
        <f>SUM(S210:S213)</f>
        <v>130620180</v>
      </c>
      <c r="T208" s="542">
        <f>R208+P208+N208+L208</f>
        <v>30</v>
      </c>
      <c r="U208" s="636">
        <f>M208+O208+Q208+S208</f>
        <v>139852980</v>
      </c>
      <c r="V208" s="481">
        <f>H208+T208</f>
        <v>65</v>
      </c>
      <c r="W208" s="636">
        <f>I208+U208</f>
        <v>139852980</v>
      </c>
      <c r="X208" s="529">
        <f>V208/E208*100</f>
        <v>216.66666666666666</v>
      </c>
      <c r="Y208" s="529">
        <f>W208/G208*100</f>
        <v>41.133229411764702</v>
      </c>
      <c r="Z208" s="877" t="s">
        <v>311</v>
      </c>
      <c r="AB208" s="125"/>
    </row>
    <row r="209" spans="1:28" s="131" customFormat="1" ht="68.25" customHeight="1" thickBot="1" x14ac:dyDescent="0.3">
      <c r="A209" s="715"/>
      <c r="B209" s="274"/>
      <c r="C209" s="863"/>
      <c r="D209" s="863"/>
      <c r="E209" s="670"/>
      <c r="F209" s="670" t="s">
        <v>239</v>
      </c>
      <c r="G209" s="637"/>
      <c r="H209" s="670" t="s">
        <v>239</v>
      </c>
      <c r="I209" s="637"/>
      <c r="J209" s="670" t="s">
        <v>239</v>
      </c>
      <c r="K209" s="637"/>
      <c r="L209" s="670" t="s">
        <v>239</v>
      </c>
      <c r="M209" s="637"/>
      <c r="N209" s="670" t="s">
        <v>239</v>
      </c>
      <c r="O209" s="637"/>
      <c r="P209" s="670" t="s">
        <v>239</v>
      </c>
      <c r="Q209" s="637"/>
      <c r="R209" s="670" t="s">
        <v>239</v>
      </c>
      <c r="S209" s="570"/>
      <c r="T209" s="538" t="s">
        <v>239</v>
      </c>
      <c r="U209" s="637"/>
      <c r="V209" s="490"/>
      <c r="W209" s="637"/>
      <c r="X209" s="532"/>
      <c r="Y209" s="532"/>
      <c r="Z209" s="878"/>
      <c r="AB209" s="125"/>
    </row>
    <row r="210" spans="1:28" s="348" customFormat="1" x14ac:dyDescent="0.25">
      <c r="A210" s="250"/>
      <c r="B210" s="250"/>
      <c r="C210" s="834" t="str">
        <f>'[1]2.8 PPPA'!B57</f>
        <v>Penyediaan Layanan Pengaduan Masyarakat bagi Anak yang Memerlukan Perlindungan Khusus Tingkat Daerah Kabupaten/ Kota</v>
      </c>
      <c r="D210" s="834" t="str">
        <f>'[1]2.8 PPPA'!D57</f>
        <v>Jumlah Anak yang Memerlukan Perlindungan Khusus Mendapatkan Layanan Pengaduan Kewenangan Kabupaten/ Kota</v>
      </c>
      <c r="E210" s="237">
        <v>150</v>
      </c>
      <c r="F210" s="237"/>
      <c r="G210" s="642">
        <v>240000000</v>
      </c>
      <c r="H210" s="237">
        <v>30</v>
      </c>
      <c r="I210" s="642">
        <v>0</v>
      </c>
      <c r="J210" s="237">
        <v>30</v>
      </c>
      <c r="K210" s="642">
        <v>36410000</v>
      </c>
      <c r="L210" s="448">
        <v>0</v>
      </c>
      <c r="M210" s="642">
        <v>0</v>
      </c>
      <c r="N210" s="237">
        <v>10</v>
      </c>
      <c r="O210" s="642">
        <f>5253800-M210</f>
        <v>5253800</v>
      </c>
      <c r="P210" s="198">
        <v>8</v>
      </c>
      <c r="Q210" s="642">
        <f>9232800-O210-M210</f>
        <v>3979000</v>
      </c>
      <c r="R210" s="662">
        <v>12</v>
      </c>
      <c r="S210" s="855">
        <f>30943980-Q210-O210-M210</f>
        <v>21711180</v>
      </c>
      <c r="T210" s="642">
        <f>R210+P210+N210+L210</f>
        <v>30</v>
      </c>
      <c r="U210" s="642">
        <f>M210+O210+Q210+S210</f>
        <v>30943980</v>
      </c>
      <c r="V210" s="663">
        <f t="shared" ref="V210:V212" si="54">H210+T210</f>
        <v>60</v>
      </c>
      <c r="W210" s="642">
        <f>SUM(I210+U210)</f>
        <v>30943980</v>
      </c>
      <c r="X210" s="340">
        <f>V210/E210*100</f>
        <v>40</v>
      </c>
      <c r="Y210" s="340">
        <f>W210/G210*100</f>
        <v>12.893325000000001</v>
      </c>
      <c r="Z210" s="835" t="s">
        <v>311</v>
      </c>
      <c r="AA210" s="348" t="s">
        <v>17</v>
      </c>
      <c r="AB210" s="349"/>
    </row>
    <row r="211" spans="1:28" s="348" customFormat="1" ht="53.25" customHeight="1" x14ac:dyDescent="0.25">
      <c r="A211" s="250"/>
      <c r="B211" s="250"/>
      <c r="C211" s="795"/>
      <c r="D211" s="795"/>
      <c r="E211" s="307"/>
      <c r="F211" s="307" t="s">
        <v>239</v>
      </c>
      <c r="G211" s="639" t="s">
        <v>17</v>
      </c>
      <c r="H211" s="307" t="s">
        <v>239</v>
      </c>
      <c r="I211" s="639"/>
      <c r="J211" s="307" t="s">
        <v>239</v>
      </c>
      <c r="K211" s="639"/>
      <c r="L211" s="307" t="s">
        <v>239</v>
      </c>
      <c r="M211" s="639"/>
      <c r="N211" s="307" t="s">
        <v>239</v>
      </c>
      <c r="O211" s="639"/>
      <c r="P211" s="307" t="s">
        <v>239</v>
      </c>
      <c r="Q211" s="639"/>
      <c r="R211" s="307" t="s">
        <v>239</v>
      </c>
      <c r="S211" s="852"/>
      <c r="T211" s="199" t="s">
        <v>239</v>
      </c>
      <c r="U211" s="639"/>
      <c r="V211" s="230"/>
      <c r="W211" s="639"/>
      <c r="X211" s="338"/>
      <c r="Y211" s="338"/>
      <c r="Z211" s="797"/>
      <c r="AB211" s="349"/>
    </row>
    <row r="212" spans="1:28" s="348" customFormat="1" x14ac:dyDescent="0.25">
      <c r="A212" s="402"/>
      <c r="B212" s="402"/>
      <c r="C212" s="794" t="s">
        <v>435</v>
      </c>
      <c r="D212" s="794" t="s">
        <v>436</v>
      </c>
      <c r="E212" s="403">
        <v>60</v>
      </c>
      <c r="F212" s="197"/>
      <c r="G212" s="656">
        <v>100000000</v>
      </c>
      <c r="H212" s="197">
        <v>30</v>
      </c>
      <c r="I212" s="659">
        <v>0</v>
      </c>
      <c r="J212" s="197">
        <v>30</v>
      </c>
      <c r="K212" s="656">
        <f>254000+1250000+22752000+57600000+85200000+12000000+403000</f>
        <v>179459000</v>
      </c>
      <c r="L212" s="197">
        <v>7</v>
      </c>
      <c r="M212" s="659">
        <v>0</v>
      </c>
      <c r="N212" s="197">
        <v>7</v>
      </c>
      <c r="O212" s="659">
        <v>0</v>
      </c>
      <c r="P212" s="656">
        <v>8</v>
      </c>
      <c r="Q212" s="659">
        <f>0-O212-M212</f>
        <v>0</v>
      </c>
      <c r="R212" s="662">
        <v>8</v>
      </c>
      <c r="S212" s="855">
        <f>108909000-Q212-O212-M212</f>
        <v>108909000</v>
      </c>
      <c r="T212" s="642">
        <f>R212+P212+N212+L212</f>
        <v>30</v>
      </c>
      <c r="U212" s="659">
        <f>M212+O212+Q212+S212</f>
        <v>108909000</v>
      </c>
      <c r="V212" s="663">
        <f t="shared" si="54"/>
        <v>60</v>
      </c>
      <c r="W212" s="659">
        <f>SUM(I212+U212)</f>
        <v>108909000</v>
      </c>
      <c r="X212" s="340">
        <f>V212/E212*100</f>
        <v>100</v>
      </c>
      <c r="Y212" s="340">
        <f>W212/G212*100</f>
        <v>108.90899999999999</v>
      </c>
      <c r="Z212" s="853" t="s">
        <v>311</v>
      </c>
      <c r="AB212" s="349"/>
    </row>
    <row r="213" spans="1:28" s="348" customFormat="1" ht="45.75" customHeight="1" x14ac:dyDescent="0.25">
      <c r="A213" s="402"/>
      <c r="B213" s="402"/>
      <c r="C213" s="795"/>
      <c r="D213" s="795"/>
      <c r="E213" s="404"/>
      <c r="F213" s="404" t="s">
        <v>299</v>
      </c>
      <c r="G213" s="657"/>
      <c r="H213" s="404" t="s">
        <v>299</v>
      </c>
      <c r="I213" s="657"/>
      <c r="J213" s="404" t="s">
        <v>239</v>
      </c>
      <c r="K213" s="657"/>
      <c r="L213" s="404" t="s">
        <v>239</v>
      </c>
      <c r="M213" s="657"/>
      <c r="N213" s="404" t="s">
        <v>239</v>
      </c>
      <c r="O213" s="657"/>
      <c r="P213" s="404" t="s">
        <v>239</v>
      </c>
      <c r="Q213" s="657"/>
      <c r="R213" s="404" t="s">
        <v>239</v>
      </c>
      <c r="S213" s="852"/>
      <c r="T213" s="404" t="s">
        <v>239</v>
      </c>
      <c r="U213" s="657"/>
      <c r="V213" s="230"/>
      <c r="W213" s="657"/>
      <c r="X213" s="340"/>
      <c r="Y213" s="340"/>
      <c r="Z213" s="854"/>
      <c r="AB213" s="349"/>
    </row>
    <row r="214" spans="1:28" s="131" customFormat="1" x14ac:dyDescent="0.25">
      <c r="A214" s="262"/>
      <c r="B214" s="262"/>
      <c r="C214" s="812" t="str">
        <f>'[1]2.8 PPPA'!B61</f>
        <v>Penguatan dan Pengembangan Lembaga Penyedia Layanan bagi Anak yang Memerlukan Perlindungan Khusus Tingkat Daerah Kabupaten/Kota</v>
      </c>
      <c r="D214" s="812" t="s">
        <v>321</v>
      </c>
      <c r="E214" s="571">
        <v>109</v>
      </c>
      <c r="F214" s="493"/>
      <c r="G214" s="572">
        <f>SUM(G216:G222)</f>
        <v>1020000000</v>
      </c>
      <c r="H214" s="493">
        <v>15</v>
      </c>
      <c r="I214" s="572">
        <f>SUM(I216:I223)</f>
        <v>114815000</v>
      </c>
      <c r="J214" s="493">
        <v>17</v>
      </c>
      <c r="K214" s="572">
        <f>SUM(K216:K223)</f>
        <v>105100000</v>
      </c>
      <c r="L214" s="493">
        <v>0</v>
      </c>
      <c r="M214" s="572">
        <f>SUM(M216:M223)</f>
        <v>0</v>
      </c>
      <c r="N214" s="493">
        <v>0</v>
      </c>
      <c r="O214" s="572">
        <f>SUM(O220:O222)</f>
        <v>0</v>
      </c>
      <c r="P214" s="655">
        <v>5</v>
      </c>
      <c r="Q214" s="572">
        <f>SUM(Q216:Q223)</f>
        <v>27350000</v>
      </c>
      <c r="R214" s="481">
        <v>12</v>
      </c>
      <c r="S214" s="573">
        <f>SUM(S216:S223)</f>
        <v>72086000</v>
      </c>
      <c r="T214" s="542">
        <f>R214+P214+N214+L214</f>
        <v>17</v>
      </c>
      <c r="U214" s="572">
        <f>M214+O214+Q214+S214</f>
        <v>99436000</v>
      </c>
      <c r="V214" s="481">
        <f>H214+T214</f>
        <v>32</v>
      </c>
      <c r="W214" s="572">
        <f>I214+U214</f>
        <v>214251000</v>
      </c>
      <c r="X214" s="536">
        <f>V214/E214*100</f>
        <v>29.357798165137616</v>
      </c>
      <c r="Y214" s="536">
        <f>W214/G214*100</f>
        <v>21.004999999999999</v>
      </c>
      <c r="Z214" s="816" t="s">
        <v>311</v>
      </c>
      <c r="AB214" s="125"/>
    </row>
    <row r="215" spans="1:28" s="131" customFormat="1" ht="53.25" customHeight="1" x14ac:dyDescent="0.25">
      <c r="A215" s="262"/>
      <c r="B215" s="262"/>
      <c r="C215" s="825"/>
      <c r="D215" s="825"/>
      <c r="E215" s="627"/>
      <c r="F215" s="627" t="s">
        <v>322</v>
      </c>
      <c r="G215" s="574" t="s">
        <v>17</v>
      </c>
      <c r="H215" s="627" t="s">
        <v>403</v>
      </c>
      <c r="I215" s="574"/>
      <c r="J215" s="627" t="s">
        <v>322</v>
      </c>
      <c r="K215" s="574"/>
      <c r="L215" s="627" t="s">
        <v>322</v>
      </c>
      <c r="M215" s="574"/>
      <c r="N215" s="627" t="s">
        <v>322</v>
      </c>
      <c r="O215" s="574"/>
      <c r="P215" s="627" t="s">
        <v>322</v>
      </c>
      <c r="Q215" s="574"/>
      <c r="R215" s="627" t="s">
        <v>322</v>
      </c>
      <c r="S215" s="575"/>
      <c r="T215" s="627" t="s">
        <v>403</v>
      </c>
      <c r="U215" s="574"/>
      <c r="V215" s="490"/>
      <c r="W215" s="574"/>
      <c r="X215" s="532"/>
      <c r="Y215" s="532"/>
      <c r="Z215" s="822"/>
      <c r="AB215" s="125"/>
    </row>
    <row r="216" spans="1:28" s="348" customFormat="1" ht="19.5" hidden="1" customHeight="1" x14ac:dyDescent="0.25">
      <c r="A216" s="312"/>
      <c r="B216" s="312"/>
      <c r="C216" s="818" t="s">
        <v>497</v>
      </c>
      <c r="D216" s="818" t="s">
        <v>498</v>
      </c>
      <c r="E216" s="237">
        <v>2</v>
      </c>
      <c r="F216" s="237"/>
      <c r="G216" s="227">
        <v>120000000</v>
      </c>
      <c r="H216" s="237">
        <v>2</v>
      </c>
      <c r="I216" s="227">
        <v>85419000</v>
      </c>
      <c r="J216" s="237"/>
      <c r="K216" s="227">
        <v>0</v>
      </c>
      <c r="L216" s="237"/>
      <c r="M216" s="227">
        <v>0</v>
      </c>
      <c r="N216" s="237"/>
      <c r="O216" s="227">
        <v>0</v>
      </c>
      <c r="P216" s="198"/>
      <c r="Q216" s="227"/>
      <c r="R216" s="198"/>
      <c r="S216" s="318"/>
      <c r="T216" s="642">
        <f>R216+P216+N216+L216</f>
        <v>0</v>
      </c>
      <c r="U216" s="227"/>
      <c r="V216" s="663">
        <f t="shared" ref="V216:W222" si="55">H216+T216</f>
        <v>2</v>
      </c>
      <c r="W216" s="229">
        <f t="shared" si="55"/>
        <v>85419000</v>
      </c>
      <c r="X216" s="337">
        <f t="shared" ref="X216:X218" si="56">V216/E216*100%</f>
        <v>1</v>
      </c>
      <c r="Y216" s="337">
        <f t="shared" ref="Y216:Y218" si="57">W216/G216*100%</f>
        <v>0.71182500000000004</v>
      </c>
      <c r="Z216" s="796" t="s">
        <v>311</v>
      </c>
      <c r="AB216" s="349"/>
    </row>
    <row r="217" spans="1:28" s="348" customFormat="1" ht="84.75" hidden="1" customHeight="1" x14ac:dyDescent="0.25">
      <c r="A217" s="312"/>
      <c r="B217" s="312"/>
      <c r="C217" s="819"/>
      <c r="D217" s="819"/>
      <c r="E217" s="307"/>
      <c r="F217" s="307" t="s">
        <v>156</v>
      </c>
      <c r="G217" s="405"/>
      <c r="H217" s="307" t="s">
        <v>156</v>
      </c>
      <c r="I217" s="405"/>
      <c r="J217" s="307"/>
      <c r="K217" s="405"/>
      <c r="L217" s="307"/>
      <c r="M217" s="405"/>
      <c r="N217" s="307"/>
      <c r="O217" s="405"/>
      <c r="P217" s="199"/>
      <c r="Q217" s="405"/>
      <c r="R217" s="199"/>
      <c r="S217" s="319"/>
      <c r="T217" s="199"/>
      <c r="U217" s="405"/>
      <c r="V217" s="230"/>
      <c r="W217" s="405"/>
      <c r="X217" s="338"/>
      <c r="Y217" s="338"/>
      <c r="Z217" s="797"/>
      <c r="AB217" s="349"/>
    </row>
    <row r="218" spans="1:28" s="348" customFormat="1" ht="20.25" hidden="1" customHeight="1" x14ac:dyDescent="0.25">
      <c r="A218" s="312"/>
      <c r="B218" s="312"/>
      <c r="C218" s="818" t="s">
        <v>499</v>
      </c>
      <c r="D218" s="818" t="s">
        <v>500</v>
      </c>
      <c r="E218" s="237">
        <v>21</v>
      </c>
      <c r="F218" s="237"/>
      <c r="G218" s="227">
        <v>50000000</v>
      </c>
      <c r="H218" s="406"/>
      <c r="I218" s="407">
        <v>29396000</v>
      </c>
      <c r="J218" s="406"/>
      <c r="K218" s="227">
        <v>0</v>
      </c>
      <c r="L218" s="642"/>
      <c r="M218" s="227">
        <v>0</v>
      </c>
      <c r="N218" s="237"/>
      <c r="O218" s="227">
        <v>0</v>
      </c>
      <c r="P218" s="198"/>
      <c r="Q218" s="227"/>
      <c r="R218" s="198"/>
      <c r="S218" s="318"/>
      <c r="T218" s="642">
        <f>R218+P218+N218+L218</f>
        <v>0</v>
      </c>
      <c r="U218" s="227"/>
      <c r="V218" s="663">
        <f t="shared" si="55"/>
        <v>0</v>
      </c>
      <c r="W218" s="229">
        <f t="shared" si="55"/>
        <v>29396000</v>
      </c>
      <c r="X218" s="340">
        <f t="shared" si="56"/>
        <v>0</v>
      </c>
      <c r="Y218" s="340">
        <f t="shared" si="57"/>
        <v>0.58792</v>
      </c>
      <c r="Z218" s="796" t="s">
        <v>311</v>
      </c>
      <c r="AB218" s="349"/>
    </row>
    <row r="219" spans="1:28" s="348" customFormat="1" ht="75" hidden="1" customHeight="1" x14ac:dyDescent="0.25">
      <c r="A219" s="312"/>
      <c r="B219" s="312"/>
      <c r="C219" s="819"/>
      <c r="D219" s="819"/>
      <c r="E219" s="307"/>
      <c r="F219" s="307" t="s">
        <v>156</v>
      </c>
      <c r="G219" s="405"/>
      <c r="H219" s="408"/>
      <c r="I219" s="409"/>
      <c r="J219" s="408"/>
      <c r="K219" s="409"/>
      <c r="L219" s="408"/>
      <c r="M219" s="409"/>
      <c r="N219" s="307"/>
      <c r="O219" s="405"/>
      <c r="P219" s="199"/>
      <c r="Q219" s="405"/>
      <c r="R219" s="199"/>
      <c r="S219" s="319"/>
      <c r="T219" s="199"/>
      <c r="U219" s="405"/>
      <c r="V219" s="230"/>
      <c r="W219" s="405"/>
      <c r="X219" s="338"/>
      <c r="Y219" s="338"/>
      <c r="Z219" s="797"/>
      <c r="AB219" s="349"/>
    </row>
    <row r="220" spans="1:28" s="339" customFormat="1" x14ac:dyDescent="0.25">
      <c r="A220" s="402"/>
      <c r="B220" s="402"/>
      <c r="C220" s="834" t="s">
        <v>437</v>
      </c>
      <c r="D220" s="834" t="s">
        <v>438</v>
      </c>
      <c r="E220" s="671">
        <v>10</v>
      </c>
      <c r="F220" s="312"/>
      <c r="G220" s="671">
        <f>720000000-G218</f>
        <v>670000000</v>
      </c>
      <c r="H220" s="312"/>
      <c r="I220" s="671">
        <v>0</v>
      </c>
      <c r="J220" s="312">
        <v>2</v>
      </c>
      <c r="K220" s="671">
        <f>1916000+1826000+7200000+17070000</f>
        <v>28012000</v>
      </c>
      <c r="L220" s="312"/>
      <c r="M220" s="671">
        <v>0</v>
      </c>
      <c r="N220" s="312"/>
      <c r="O220" s="671">
        <v>0</v>
      </c>
      <c r="P220" s="298">
        <v>1</v>
      </c>
      <c r="Q220" s="671">
        <f>4500000-O220-M220</f>
        <v>4500000</v>
      </c>
      <c r="R220" s="663">
        <v>1</v>
      </c>
      <c r="S220" s="851">
        <f>22948000-Q220-O220-M220</f>
        <v>18448000</v>
      </c>
      <c r="T220" s="642">
        <f>R220+P220+N220+L220</f>
        <v>2</v>
      </c>
      <c r="U220" s="671">
        <f>M220+O220+Q220+S220</f>
        <v>22948000</v>
      </c>
      <c r="V220" s="663">
        <f t="shared" si="55"/>
        <v>2</v>
      </c>
      <c r="W220" s="229">
        <f t="shared" si="55"/>
        <v>22948000</v>
      </c>
      <c r="X220" s="340">
        <f>V220/E220*100</f>
        <v>20</v>
      </c>
      <c r="Y220" s="340">
        <f>W220/G220*100</f>
        <v>3.4250746268656713</v>
      </c>
      <c r="Z220" s="824" t="s">
        <v>311</v>
      </c>
      <c r="AA220" s="354"/>
      <c r="AB220" s="355"/>
    </row>
    <row r="221" spans="1:28" s="339" customFormat="1" ht="39.75" customHeight="1" x14ac:dyDescent="0.25">
      <c r="A221" s="402"/>
      <c r="B221" s="402"/>
      <c r="C221" s="795"/>
      <c r="D221" s="795"/>
      <c r="E221" s="307"/>
      <c r="F221" s="307" t="s">
        <v>439</v>
      </c>
      <c r="G221" s="649"/>
      <c r="H221" s="307"/>
      <c r="I221" s="649"/>
      <c r="J221" s="307" t="s">
        <v>439</v>
      </c>
      <c r="K221" s="649"/>
      <c r="L221" s="307" t="s">
        <v>439</v>
      </c>
      <c r="M221" s="649"/>
      <c r="N221" s="307" t="s">
        <v>439</v>
      </c>
      <c r="O221" s="649"/>
      <c r="P221" s="307" t="s">
        <v>439</v>
      </c>
      <c r="Q221" s="649"/>
      <c r="R221" s="307" t="s">
        <v>439</v>
      </c>
      <c r="S221" s="852"/>
      <c r="T221" s="199" t="s">
        <v>439</v>
      </c>
      <c r="U221" s="649"/>
      <c r="V221" s="230"/>
      <c r="W221" s="405"/>
      <c r="X221" s="338"/>
      <c r="Y221" s="338"/>
      <c r="Z221" s="797"/>
      <c r="AB221" s="355"/>
    </row>
    <row r="222" spans="1:28" s="339" customFormat="1" x14ac:dyDescent="0.25">
      <c r="A222" s="402"/>
      <c r="B222" s="402"/>
      <c r="C222" s="794" t="s">
        <v>440</v>
      </c>
      <c r="D222" s="794" t="s">
        <v>441</v>
      </c>
      <c r="E222" s="648">
        <v>85</v>
      </c>
      <c r="F222" s="237"/>
      <c r="G222" s="648">
        <f>300000000-G216</f>
        <v>180000000</v>
      </c>
      <c r="H222" s="237"/>
      <c r="I222" s="648">
        <v>0</v>
      </c>
      <c r="J222" s="237">
        <v>17</v>
      </c>
      <c r="K222" s="648">
        <f>2000000+108000+326000+8274000+14350000+7050000+14200000+26280000+4500000</f>
        <v>77088000</v>
      </c>
      <c r="L222" s="237"/>
      <c r="M222" s="648">
        <v>0</v>
      </c>
      <c r="N222" s="237"/>
      <c r="O222" s="648">
        <v>0</v>
      </c>
      <c r="P222" s="299">
        <v>8</v>
      </c>
      <c r="Q222" s="648">
        <f>22850000-O222-M222</f>
        <v>22850000</v>
      </c>
      <c r="R222" s="662">
        <v>9</v>
      </c>
      <c r="S222" s="855">
        <f>76488000-Q222-O222-M222</f>
        <v>53638000</v>
      </c>
      <c r="T222" s="642">
        <f>R222+P222+N222+L222</f>
        <v>17</v>
      </c>
      <c r="U222" s="648">
        <f>M222+O222+Q222+S222</f>
        <v>76488000</v>
      </c>
      <c r="V222" s="663">
        <f t="shared" si="55"/>
        <v>17</v>
      </c>
      <c r="W222" s="229">
        <f t="shared" si="55"/>
        <v>76488000</v>
      </c>
      <c r="X222" s="340">
        <f>V222/E222*100</f>
        <v>20</v>
      </c>
      <c r="Y222" s="340">
        <f>W222/G222*100</f>
        <v>42.493333333333332</v>
      </c>
      <c r="Z222" s="796" t="s">
        <v>311</v>
      </c>
      <c r="AB222" s="355"/>
    </row>
    <row r="223" spans="1:28" s="348" customFormat="1" ht="55.5" customHeight="1" thickBot="1" x14ac:dyDescent="0.3">
      <c r="A223" s="402"/>
      <c r="B223" s="402"/>
      <c r="C223" s="834"/>
      <c r="D223" s="861"/>
      <c r="E223" s="633"/>
      <c r="F223" s="633" t="s">
        <v>239</v>
      </c>
      <c r="G223" s="400"/>
      <c r="H223" s="633"/>
      <c r="I223" s="400"/>
      <c r="J223" s="633" t="s">
        <v>239</v>
      </c>
      <c r="K223" s="400"/>
      <c r="L223" s="633" t="s">
        <v>239</v>
      </c>
      <c r="M223" s="400"/>
      <c r="N223" s="633" t="s">
        <v>239</v>
      </c>
      <c r="O223" s="400"/>
      <c r="P223" s="633" t="s">
        <v>239</v>
      </c>
      <c r="Q223" s="400"/>
      <c r="R223" s="633" t="s">
        <v>239</v>
      </c>
      <c r="S223" s="862"/>
      <c r="T223" s="218" t="s">
        <v>239</v>
      </c>
      <c r="U223" s="400"/>
      <c r="V223" s="410"/>
      <c r="W223" s="411"/>
      <c r="X223" s="381"/>
      <c r="Y223" s="381"/>
      <c r="Z223" s="824"/>
      <c r="AB223" s="349"/>
    </row>
    <row r="224" spans="1:28" ht="69" x14ac:dyDescent="0.25">
      <c r="A224" s="652"/>
      <c r="B224" s="652" t="s">
        <v>363</v>
      </c>
      <c r="C224" s="879" t="s">
        <v>323</v>
      </c>
      <c r="D224" s="880" t="s">
        <v>324</v>
      </c>
      <c r="E224" s="654">
        <v>1.9</v>
      </c>
      <c r="F224" s="654"/>
      <c r="G224" s="160">
        <f>G228+G234</f>
        <v>1602992000</v>
      </c>
      <c r="H224" s="654">
        <v>1.91</v>
      </c>
      <c r="I224" s="160">
        <f>I228+I234</f>
        <v>305539901</v>
      </c>
      <c r="J224" s="654" t="s">
        <v>380</v>
      </c>
      <c r="K224" s="160">
        <f>K228+K234</f>
        <v>284144000</v>
      </c>
      <c r="L224" s="654" t="s">
        <v>380</v>
      </c>
      <c r="M224" s="160">
        <f>M228+M234</f>
        <v>12000000</v>
      </c>
      <c r="N224" s="654">
        <v>1.91</v>
      </c>
      <c r="O224" s="160">
        <f>O228+O234</f>
        <v>8000000</v>
      </c>
      <c r="P224" s="282" t="s">
        <v>380</v>
      </c>
      <c r="Q224" s="160">
        <f>Q228+Q234</f>
        <v>90370000</v>
      </c>
      <c r="R224" s="282" t="s">
        <v>380</v>
      </c>
      <c r="S224" s="160">
        <f>S228+S234</f>
        <v>172595000</v>
      </c>
      <c r="T224" s="282">
        <v>1.91</v>
      </c>
      <c r="U224" s="160">
        <f>M224+O224+Q224+S224</f>
        <v>282965000</v>
      </c>
      <c r="V224" s="282">
        <v>1.9</v>
      </c>
      <c r="W224" s="160">
        <f>I224+U224</f>
        <v>588504901</v>
      </c>
      <c r="X224" s="181">
        <v>1.91</v>
      </c>
      <c r="Y224" s="181">
        <f>W224/G224*100</f>
        <v>36.712903183546771</v>
      </c>
      <c r="Z224" s="881" t="s">
        <v>325</v>
      </c>
      <c r="AA224" s="138"/>
    </row>
    <row r="225" spans="1:28" x14ac:dyDescent="0.25">
      <c r="A225" s="653"/>
      <c r="B225" s="653"/>
      <c r="C225" s="880"/>
      <c r="D225" s="880"/>
      <c r="E225" s="150"/>
      <c r="F225" s="128"/>
      <c r="G225" s="149"/>
      <c r="H225" s="150"/>
      <c r="I225" s="149"/>
      <c r="J225" s="150"/>
      <c r="K225" s="149"/>
      <c r="L225" s="150"/>
      <c r="M225" s="149"/>
      <c r="N225" s="150"/>
      <c r="O225" s="149"/>
      <c r="P225" s="172"/>
      <c r="Q225" s="149"/>
      <c r="R225" s="172"/>
      <c r="S225" s="149"/>
      <c r="T225" s="716"/>
      <c r="U225" s="149"/>
      <c r="V225" s="172"/>
      <c r="W225" s="149"/>
      <c r="X225" s="283"/>
      <c r="Y225" s="185"/>
      <c r="Z225" s="882"/>
    </row>
    <row r="226" spans="1:28" x14ac:dyDescent="0.25">
      <c r="A226" s="653"/>
      <c r="B226" s="653"/>
      <c r="C226" s="653" t="s">
        <v>17</v>
      </c>
      <c r="D226" s="883" t="s">
        <v>326</v>
      </c>
      <c r="E226" s="129">
        <v>1</v>
      </c>
      <c r="F226" s="884" t="s">
        <v>237</v>
      </c>
      <c r="G226" s="149"/>
      <c r="H226" s="129">
        <v>1</v>
      </c>
      <c r="I226" s="149"/>
      <c r="J226" s="129">
        <v>1</v>
      </c>
      <c r="K226" s="149"/>
      <c r="L226" s="129">
        <v>0.25</v>
      </c>
      <c r="M226" s="149"/>
      <c r="N226" s="129">
        <v>0.25</v>
      </c>
      <c r="O226" s="149"/>
      <c r="P226" s="167">
        <v>0.25</v>
      </c>
      <c r="Q226" s="149"/>
      <c r="R226" s="167">
        <v>0.25</v>
      </c>
      <c r="S226" s="149"/>
      <c r="T226" s="167">
        <f>L226+N226+P226+R226</f>
        <v>1</v>
      </c>
      <c r="U226" s="149"/>
      <c r="V226" s="167">
        <v>1</v>
      </c>
      <c r="W226" s="149"/>
      <c r="X226" s="148">
        <v>1</v>
      </c>
      <c r="Y226" s="185"/>
      <c r="Z226" s="882"/>
    </row>
    <row r="227" spans="1:28" ht="60.75" customHeight="1" x14ac:dyDescent="0.25">
      <c r="A227" s="653"/>
      <c r="B227" s="653"/>
      <c r="C227" s="653"/>
      <c r="D227" s="880"/>
      <c r="E227" s="150" t="s">
        <v>17</v>
      </c>
      <c r="F227" s="885"/>
      <c r="G227" s="149"/>
      <c r="H227" s="150" t="s">
        <v>17</v>
      </c>
      <c r="I227" s="149"/>
      <c r="J227" s="150" t="s">
        <v>17</v>
      </c>
      <c r="K227" s="149"/>
      <c r="L227" s="150" t="s">
        <v>17</v>
      </c>
      <c r="M227" s="149"/>
      <c r="N227" s="150" t="s">
        <v>17</v>
      </c>
      <c r="O227" s="149"/>
      <c r="P227" s="172"/>
      <c r="Q227" s="149"/>
      <c r="R227" s="172"/>
      <c r="S227" s="149"/>
      <c r="T227" s="691" t="s">
        <v>17</v>
      </c>
      <c r="U227" s="149"/>
      <c r="V227" s="172" t="s">
        <v>17</v>
      </c>
      <c r="W227" s="149"/>
      <c r="X227" s="149"/>
      <c r="Y227" s="185"/>
      <c r="Z227" s="882"/>
    </row>
    <row r="228" spans="1:28" s="125" customFormat="1" x14ac:dyDescent="0.25">
      <c r="A228" s="267"/>
      <c r="B228" s="267"/>
      <c r="C228" s="812" t="str">
        <f>'[1]2.14 P2KB'!B4</f>
        <v>Pemaduan dan Sinkronisasi Kebijakan Pemerintah Daerah Provinsi dengan Pemerintah Daerah Kabupaten/ Kota dalam rangka Pengendalian Kuantitas Penduduk</v>
      </c>
      <c r="D228" s="812" t="s">
        <v>327</v>
      </c>
      <c r="E228" s="576">
        <v>19</v>
      </c>
      <c r="F228" s="576"/>
      <c r="G228" s="888">
        <f>SUM(G230:G233)</f>
        <v>805000000</v>
      </c>
      <c r="H228" s="493">
        <v>3</v>
      </c>
      <c r="I228" s="888">
        <f>SUM(I230:I233)</f>
        <v>39934000</v>
      </c>
      <c r="J228" s="493">
        <v>3</v>
      </c>
      <c r="K228" s="888">
        <f>SUM(K230:K233)</f>
        <v>110000000</v>
      </c>
      <c r="L228" s="493"/>
      <c r="M228" s="886">
        <f>SUM(M230:M233)</f>
        <v>0</v>
      </c>
      <c r="N228" s="493"/>
      <c r="O228" s="886">
        <f>SUM(O230:O233)</f>
        <v>0</v>
      </c>
      <c r="P228" s="577"/>
      <c r="Q228" s="886">
        <f>SUM(Q230:Q233)</f>
        <v>0</v>
      </c>
      <c r="R228" s="481">
        <v>3</v>
      </c>
      <c r="S228" s="830">
        <f>SUM(S230:S233)</f>
        <v>109921000</v>
      </c>
      <c r="T228" s="542">
        <f>R228+P228+N228+L228</f>
        <v>3</v>
      </c>
      <c r="U228" s="886">
        <f>M228+O228+Q228+S228</f>
        <v>109921000</v>
      </c>
      <c r="V228" s="481">
        <f>H228+T228</f>
        <v>6</v>
      </c>
      <c r="W228" s="888">
        <f>I228+U228</f>
        <v>149855000</v>
      </c>
      <c r="X228" s="536">
        <f>V228/E228*100</f>
        <v>31.578947368421051</v>
      </c>
      <c r="Y228" s="536">
        <f>W228/G228*100</f>
        <v>18.615527950310558</v>
      </c>
      <c r="Z228" s="816" t="s">
        <v>325</v>
      </c>
      <c r="AA228" s="131"/>
    </row>
    <row r="229" spans="1:28" s="125" customFormat="1" ht="67.5" customHeight="1" x14ac:dyDescent="0.25">
      <c r="A229" s="275"/>
      <c r="B229" s="275"/>
      <c r="C229" s="825"/>
      <c r="D229" s="825"/>
      <c r="E229" s="629"/>
      <c r="F229" s="629" t="s">
        <v>328</v>
      </c>
      <c r="G229" s="889"/>
      <c r="H229" s="629" t="s">
        <v>328</v>
      </c>
      <c r="I229" s="889"/>
      <c r="J229" s="629" t="s">
        <v>328</v>
      </c>
      <c r="K229" s="889"/>
      <c r="L229" s="629" t="s">
        <v>328</v>
      </c>
      <c r="M229" s="887"/>
      <c r="N229" s="629" t="s">
        <v>328</v>
      </c>
      <c r="O229" s="887"/>
      <c r="P229" s="629" t="s">
        <v>328</v>
      </c>
      <c r="Q229" s="887"/>
      <c r="R229" s="629" t="s">
        <v>328</v>
      </c>
      <c r="S229" s="829"/>
      <c r="T229" s="629" t="s">
        <v>328</v>
      </c>
      <c r="U229" s="887">
        <f t="shared" ref="U229" si="58">M229+O229+Q229+S229</f>
        <v>0</v>
      </c>
      <c r="V229" s="490"/>
      <c r="W229" s="889"/>
      <c r="X229" s="532"/>
      <c r="Y229" s="532"/>
      <c r="Z229" s="822"/>
      <c r="AA229" s="131"/>
    </row>
    <row r="230" spans="1:28" s="349" customFormat="1" ht="23.25" hidden="1" customHeight="1" x14ac:dyDescent="0.25">
      <c r="A230" s="632"/>
      <c r="B230" s="632"/>
      <c r="C230" s="818" t="s">
        <v>501</v>
      </c>
      <c r="D230" s="818" t="s">
        <v>502</v>
      </c>
      <c r="E230" s="650">
        <v>111</v>
      </c>
      <c r="F230" s="412"/>
      <c r="G230" s="661">
        <v>520000000</v>
      </c>
      <c r="H230" s="650">
        <v>3</v>
      </c>
      <c r="I230" s="661">
        <v>39934000</v>
      </c>
      <c r="J230" s="650">
        <v>13</v>
      </c>
      <c r="K230" s="660">
        <v>0</v>
      </c>
      <c r="L230" s="650"/>
      <c r="M230" s="660">
        <v>0</v>
      </c>
      <c r="N230" s="650"/>
      <c r="O230" s="660">
        <f>0-M230</f>
        <v>0</v>
      </c>
      <c r="P230" s="243"/>
      <c r="Q230" s="660">
        <f>0-O230-M230</f>
        <v>0</v>
      </c>
      <c r="R230" s="243"/>
      <c r="S230" s="317">
        <f>0-Q230-O230-M230</f>
        <v>0</v>
      </c>
      <c r="T230" s="642">
        <f>R230+P230+N230+L230</f>
        <v>0</v>
      </c>
      <c r="U230" s="660">
        <f>M230+O230+Q230+S230</f>
        <v>0</v>
      </c>
      <c r="V230" s="663">
        <f t="shared" ref="V230:V232" si="59">H230+T230</f>
        <v>3</v>
      </c>
      <c r="W230" s="890">
        <f>I230+U230</f>
        <v>39934000</v>
      </c>
      <c r="X230" s="340">
        <f t="shared" ref="X230" si="60">V230/E230*100%</f>
        <v>2.7027027027027029E-2</v>
      </c>
      <c r="Y230" s="340">
        <f t="shared" ref="Y230" si="61">W230/G230</f>
        <v>7.6796153846153847E-2</v>
      </c>
      <c r="Z230" s="796" t="s">
        <v>325</v>
      </c>
      <c r="AA230" s="348"/>
    </row>
    <row r="231" spans="1:28" s="349" customFormat="1" ht="84.75" hidden="1" customHeight="1" x14ac:dyDescent="0.25">
      <c r="A231" s="632"/>
      <c r="B231" s="632"/>
      <c r="C231" s="819"/>
      <c r="D231" s="819"/>
      <c r="E231" s="650"/>
      <c r="F231" s="412" t="s">
        <v>329</v>
      </c>
      <c r="G231" s="661"/>
      <c r="H231" s="650" t="s">
        <v>329</v>
      </c>
      <c r="I231" s="661"/>
      <c r="J231" s="650" t="s">
        <v>329</v>
      </c>
      <c r="K231" s="661"/>
      <c r="L231" s="650"/>
      <c r="M231" s="660"/>
      <c r="N231" s="650"/>
      <c r="O231" s="660"/>
      <c r="P231" s="243"/>
      <c r="Q231" s="660"/>
      <c r="R231" s="243"/>
      <c r="S231" s="317"/>
      <c r="T231" s="243"/>
      <c r="U231" s="660"/>
      <c r="V231" s="230"/>
      <c r="W231" s="891"/>
      <c r="X231" s="338"/>
      <c r="Y231" s="338"/>
      <c r="Z231" s="797"/>
      <c r="AA231" s="348"/>
    </row>
    <row r="232" spans="1:28" s="349" customFormat="1" x14ac:dyDescent="0.25">
      <c r="A232" s="258"/>
      <c r="B232" s="258"/>
      <c r="C232" s="794" t="str">
        <f>'[1]2.14 P2KB'!B6</f>
        <v>Penyusunan dan Pemanfaatan Grand Design Pembangunan Kependudukan (GDPK) Tingkat Kabupaten/Kota</v>
      </c>
      <c r="D232" s="794" t="str">
        <f>'[1]2.14 P2KB'!D6</f>
        <v>Jumlah Dokumen Penyusunan dan Pemanfaatan Grand Design Pembangunan Kependudukan (GDPK) Tingkat Kabupaten/ Kota</v>
      </c>
      <c r="E232" s="413">
        <v>2</v>
      </c>
      <c r="F232" s="414"/>
      <c r="G232" s="892">
        <v>285000000</v>
      </c>
      <c r="H232" s="237"/>
      <c r="I232" s="894">
        <v>0</v>
      </c>
      <c r="J232" s="237">
        <v>1</v>
      </c>
      <c r="K232" s="890">
        <f>312000+188000+2400000+16500000+600000+90000000</f>
        <v>110000000</v>
      </c>
      <c r="L232" s="237"/>
      <c r="M232" s="897">
        <v>0</v>
      </c>
      <c r="N232" s="237"/>
      <c r="O232" s="897">
        <v>0</v>
      </c>
      <c r="P232" s="658"/>
      <c r="Q232" s="897">
        <f>0-O232-M232</f>
        <v>0</v>
      </c>
      <c r="R232" s="198">
        <v>1</v>
      </c>
      <c r="S232" s="903">
        <f>109921000-Q232-O232-M232</f>
        <v>109921000</v>
      </c>
      <c r="T232" s="642">
        <f>R232+P232+N232+L232</f>
        <v>1</v>
      </c>
      <c r="U232" s="892">
        <f>M232+O232+Q232+S232</f>
        <v>109921000</v>
      </c>
      <c r="V232" s="663">
        <f t="shared" si="59"/>
        <v>1</v>
      </c>
      <c r="W232" s="890">
        <f>I232+U232</f>
        <v>109921000</v>
      </c>
      <c r="X232" s="340">
        <f>V232/E232*100</f>
        <v>50</v>
      </c>
      <c r="Y232" s="340">
        <f>W232/G232*100</f>
        <v>38.568771929824564</v>
      </c>
      <c r="Z232" s="796" t="s">
        <v>325</v>
      </c>
      <c r="AA232" s="348"/>
    </row>
    <row r="233" spans="1:28" s="349" customFormat="1" ht="40.5" customHeight="1" x14ac:dyDescent="0.25">
      <c r="A233" s="258"/>
      <c r="B233" s="258"/>
      <c r="C233" s="834"/>
      <c r="D233" s="834"/>
      <c r="E233" s="312"/>
      <c r="F233" s="312" t="s">
        <v>156</v>
      </c>
      <c r="G233" s="893"/>
      <c r="H233" s="415"/>
      <c r="I233" s="895"/>
      <c r="J233" s="415" t="s">
        <v>156</v>
      </c>
      <c r="K233" s="896"/>
      <c r="L233" s="415" t="s">
        <v>156</v>
      </c>
      <c r="M233" s="898"/>
      <c r="N233" s="415" t="s">
        <v>156</v>
      </c>
      <c r="O233" s="898"/>
      <c r="P233" s="415" t="s">
        <v>156</v>
      </c>
      <c r="Q233" s="898"/>
      <c r="R233" s="415" t="s">
        <v>156</v>
      </c>
      <c r="S233" s="904"/>
      <c r="T233" s="698" t="s">
        <v>156</v>
      </c>
      <c r="U233" s="893">
        <f t="shared" ref="U233" si="62">M233+O233+Q233+S233</f>
        <v>0</v>
      </c>
      <c r="V233" s="230"/>
      <c r="W233" s="891"/>
      <c r="X233" s="338"/>
      <c r="Y233" s="338"/>
      <c r="Z233" s="824"/>
      <c r="AA233" s="348"/>
    </row>
    <row r="234" spans="1:28" s="131" customFormat="1" x14ac:dyDescent="0.25">
      <c r="A234" s="263"/>
      <c r="B234" s="717"/>
      <c r="C234" s="812" t="str">
        <f>'[1]2.14 P2KB'!B20</f>
        <v>Pemetaan Perkiraan Pengendalian Penduduk Cakupan Daerah Kabupaten/ Kota</v>
      </c>
      <c r="D234" s="812" t="s">
        <v>330</v>
      </c>
      <c r="E234" s="493">
        <v>19</v>
      </c>
      <c r="F234" s="493"/>
      <c r="G234" s="578">
        <f>SUM(G236:G257)</f>
        <v>797992000</v>
      </c>
      <c r="H234" s="493">
        <v>3</v>
      </c>
      <c r="I234" s="578">
        <f>SUM(I236:I257)</f>
        <v>265605901</v>
      </c>
      <c r="J234" s="493">
        <v>3</v>
      </c>
      <c r="K234" s="578">
        <f>SUM(K236:K257)</f>
        <v>174144000</v>
      </c>
      <c r="L234" s="493"/>
      <c r="M234" s="572">
        <f>SUM(M236:M257)</f>
        <v>12000000</v>
      </c>
      <c r="N234" s="493">
        <v>1</v>
      </c>
      <c r="O234" s="572">
        <f>SUM(O236:O257)</f>
        <v>8000000</v>
      </c>
      <c r="P234" s="483">
        <v>1</v>
      </c>
      <c r="Q234" s="572">
        <f>SUM(Q236:Q257)</f>
        <v>90370000</v>
      </c>
      <c r="R234" s="481">
        <v>1</v>
      </c>
      <c r="S234" s="899">
        <f>SUM(S236:S257)</f>
        <v>62674000</v>
      </c>
      <c r="T234" s="542">
        <f>R234+P234+N234+L234</f>
        <v>3</v>
      </c>
      <c r="U234" s="578">
        <f>M234+O234+Q234+S234</f>
        <v>173044000</v>
      </c>
      <c r="V234" s="481">
        <f>H234+T234</f>
        <v>6</v>
      </c>
      <c r="W234" s="578">
        <f>I234+U234</f>
        <v>438649901</v>
      </c>
      <c r="X234" s="536">
        <f>V234/E234*100</f>
        <v>31.578947368421051</v>
      </c>
      <c r="Y234" s="536">
        <f>W234/G234*100</f>
        <v>54.969210342960828</v>
      </c>
      <c r="Z234" s="816" t="s">
        <v>325</v>
      </c>
      <c r="AB234" s="125"/>
    </row>
    <row r="235" spans="1:28" s="131" customFormat="1" ht="54.75" customHeight="1" x14ac:dyDescent="0.25">
      <c r="A235" s="263"/>
      <c r="B235" s="717"/>
      <c r="C235" s="813"/>
      <c r="D235" s="813"/>
      <c r="E235" s="625"/>
      <c r="F235" s="625" t="s">
        <v>331</v>
      </c>
      <c r="G235" s="579"/>
      <c r="H235" s="625" t="s">
        <v>331</v>
      </c>
      <c r="I235" s="579"/>
      <c r="J235" s="625" t="s">
        <v>331</v>
      </c>
      <c r="K235" s="579"/>
      <c r="L235" s="625" t="s">
        <v>331</v>
      </c>
      <c r="M235" s="580"/>
      <c r="N235" s="625" t="s">
        <v>331</v>
      </c>
      <c r="O235" s="580"/>
      <c r="P235" s="625" t="s">
        <v>331</v>
      </c>
      <c r="Q235" s="580"/>
      <c r="R235" s="625" t="s">
        <v>331</v>
      </c>
      <c r="S235" s="900"/>
      <c r="T235" s="625" t="s">
        <v>331</v>
      </c>
      <c r="U235" s="579"/>
      <c r="V235" s="489"/>
      <c r="W235" s="581"/>
      <c r="X235" s="532"/>
      <c r="Y235" s="532"/>
      <c r="Z235" s="817"/>
      <c r="AA235" s="276"/>
      <c r="AB235" s="125"/>
    </row>
    <row r="236" spans="1:28" s="348" customFormat="1" x14ac:dyDescent="0.25">
      <c r="A236" s="416"/>
      <c r="B236" s="718"/>
      <c r="C236" s="794" t="str">
        <f>'[1]2.14 P2KB'!B22</f>
        <v>Penyediaan dan Pengolahan Data Kependudukan</v>
      </c>
      <c r="D236" s="794" t="str">
        <f>'[1]2.14 P2KB'!D22</f>
        <v>Jumlah Dokumen Penyediaan dan Pengolahan Data Kependudukan</v>
      </c>
      <c r="E236" s="417">
        <v>15</v>
      </c>
      <c r="F236" s="417"/>
      <c r="G236" s="656">
        <v>353992000</v>
      </c>
      <c r="H236" s="417">
        <v>1</v>
      </c>
      <c r="I236" s="656">
        <v>0</v>
      </c>
      <c r="J236" s="417">
        <v>3</v>
      </c>
      <c r="K236" s="656">
        <f>14000000+20000000+46000000</f>
        <v>80000000</v>
      </c>
      <c r="L236" s="417"/>
      <c r="M236" s="659">
        <v>0</v>
      </c>
      <c r="N236" s="417"/>
      <c r="O236" s="659">
        <v>0</v>
      </c>
      <c r="P236" s="418"/>
      <c r="Q236" s="656">
        <f>32050000-O236-M236</f>
        <v>32050000</v>
      </c>
      <c r="R236" s="662">
        <v>3</v>
      </c>
      <c r="S236" s="226">
        <f>79100000-Q236-O236-M236</f>
        <v>47050000</v>
      </c>
      <c r="T236" s="642">
        <f>R236+P236+N236+L236</f>
        <v>3</v>
      </c>
      <c r="U236" s="659">
        <f>M236+O236+Q236+S236</f>
        <v>79100000</v>
      </c>
      <c r="V236" s="662">
        <f>H236+T236</f>
        <v>4</v>
      </c>
      <c r="W236" s="419">
        <f t="shared" ref="W236:W257" si="63">I236+U236</f>
        <v>79100000</v>
      </c>
      <c r="X236" s="363">
        <f>V236/E236*100</f>
        <v>26.666666666666668</v>
      </c>
      <c r="Y236" s="363">
        <f>W236/G236*100</f>
        <v>22.345137743225834</v>
      </c>
      <c r="Z236" s="901" t="s">
        <v>325</v>
      </c>
      <c r="AB236" s="349"/>
    </row>
    <row r="237" spans="1:28" s="348" customFormat="1" ht="41.25" customHeight="1" x14ac:dyDescent="0.25">
      <c r="A237" s="416"/>
      <c r="B237" s="718"/>
      <c r="C237" s="795"/>
      <c r="D237" s="795"/>
      <c r="E237" s="420"/>
      <c r="F237" s="420" t="s">
        <v>156</v>
      </c>
      <c r="G237" s="661"/>
      <c r="H237" s="420" t="s">
        <v>156</v>
      </c>
      <c r="I237" s="661"/>
      <c r="J237" s="420" t="s">
        <v>156</v>
      </c>
      <c r="K237" s="661"/>
      <c r="L237" s="420" t="s">
        <v>156</v>
      </c>
      <c r="M237" s="660"/>
      <c r="N237" s="420" t="s">
        <v>156</v>
      </c>
      <c r="O237" s="660"/>
      <c r="P237" s="420" t="s">
        <v>156</v>
      </c>
      <c r="Q237" s="661"/>
      <c r="R237" s="420" t="s">
        <v>156</v>
      </c>
      <c r="S237" s="228"/>
      <c r="T237" s="420" t="s">
        <v>156</v>
      </c>
      <c r="U237" s="660"/>
      <c r="V237" s="230"/>
      <c r="W237" s="405"/>
      <c r="X237" s="338"/>
      <c r="Y237" s="338"/>
      <c r="Z237" s="902"/>
      <c r="AB237" s="349"/>
    </row>
    <row r="238" spans="1:28" s="348" customFormat="1" x14ac:dyDescent="0.25">
      <c r="A238" s="416"/>
      <c r="B238" s="718"/>
      <c r="C238" s="794" t="str">
        <f>'[1]2.14 P2KB'!B31</f>
        <v>Penyediaan Data dan Informasi Keluarga</v>
      </c>
      <c r="D238" s="794" t="str">
        <f>'[1]2.14 P2KB'!D31</f>
        <v>Jumlah Data dan Informasi Keluarga yang Tersedianya</v>
      </c>
      <c r="E238" s="417">
        <v>55</v>
      </c>
      <c r="F238" s="417"/>
      <c r="G238" s="656">
        <v>440000000</v>
      </c>
      <c r="H238" s="417">
        <v>1</v>
      </c>
      <c r="I238" s="656">
        <v>0</v>
      </c>
      <c r="J238" s="417">
        <v>13</v>
      </c>
      <c r="K238" s="656">
        <v>32144000</v>
      </c>
      <c r="L238" s="417"/>
      <c r="M238" s="659">
        <v>0</v>
      </c>
      <c r="N238" s="417"/>
      <c r="O238" s="659">
        <v>0</v>
      </c>
      <c r="P238" s="418">
        <v>12</v>
      </c>
      <c r="Q238" s="656">
        <f>31440000-O238-M238</f>
        <v>31440000</v>
      </c>
      <c r="R238" s="662">
        <v>1</v>
      </c>
      <c r="S238" s="226">
        <f>32064000-Q238-O238-M238</f>
        <v>624000</v>
      </c>
      <c r="T238" s="642">
        <f>R238+P238+N238+L238</f>
        <v>13</v>
      </c>
      <c r="U238" s="659">
        <f>M238+O238+Q238+S238</f>
        <v>32064000</v>
      </c>
      <c r="V238" s="662">
        <f t="shared" ref="V238:V257" si="64">H238+T238</f>
        <v>14</v>
      </c>
      <c r="W238" s="229">
        <f t="shared" si="63"/>
        <v>32064000</v>
      </c>
      <c r="X238" s="340">
        <f>V238/E238*100</f>
        <v>25.454545454545453</v>
      </c>
      <c r="Y238" s="340">
        <f>W238/G238*100</f>
        <v>7.2872727272727271</v>
      </c>
      <c r="Z238" s="796" t="s">
        <v>325</v>
      </c>
      <c r="AB238" s="349"/>
    </row>
    <row r="239" spans="1:28" s="348" customFormat="1" ht="37.5" customHeight="1" thickBot="1" x14ac:dyDescent="0.3">
      <c r="A239" s="416"/>
      <c r="B239" s="718"/>
      <c r="C239" s="834"/>
      <c r="D239" s="834"/>
      <c r="E239" s="420"/>
      <c r="F239" s="420" t="s">
        <v>156</v>
      </c>
      <c r="G239" s="661"/>
      <c r="H239" s="420" t="s">
        <v>156</v>
      </c>
      <c r="I239" s="661"/>
      <c r="J239" s="420" t="s">
        <v>156</v>
      </c>
      <c r="K239" s="661"/>
      <c r="L239" s="420" t="s">
        <v>156</v>
      </c>
      <c r="M239" s="660"/>
      <c r="N239" s="420" t="s">
        <v>156</v>
      </c>
      <c r="O239" s="420"/>
      <c r="P239" s="420" t="s">
        <v>156</v>
      </c>
      <c r="Q239" s="661"/>
      <c r="R239" s="420" t="s">
        <v>156</v>
      </c>
      <c r="S239" s="228"/>
      <c r="T239" s="420" t="s">
        <v>156</v>
      </c>
      <c r="U239" s="421"/>
      <c r="V239" s="230"/>
      <c r="W239" s="405"/>
      <c r="X239" s="338"/>
      <c r="Y239" s="338"/>
      <c r="Z239" s="824"/>
      <c r="AA239" s="422"/>
      <c r="AB239" s="349"/>
    </row>
    <row r="240" spans="1:28" s="348" customFormat="1" ht="60.75" hidden="1" customHeight="1" x14ac:dyDescent="0.3">
      <c r="A240" s="416"/>
      <c r="B240" s="718"/>
      <c r="C240" s="620" t="s">
        <v>516</v>
      </c>
      <c r="D240" s="620" t="s">
        <v>517</v>
      </c>
      <c r="E240" s="417">
        <v>2</v>
      </c>
      <c r="F240" s="427" t="s">
        <v>156</v>
      </c>
      <c r="G240" s="656">
        <v>2000000</v>
      </c>
      <c r="H240" s="428"/>
      <c r="I240" s="656"/>
      <c r="J240" s="428"/>
      <c r="K240" s="656"/>
      <c r="L240" s="428"/>
      <c r="M240" s="659">
        <f>0</f>
        <v>0</v>
      </c>
      <c r="N240" s="428"/>
      <c r="O240" s="659">
        <f>0-M240</f>
        <v>0</v>
      </c>
      <c r="P240" s="429"/>
      <c r="Q240" s="659">
        <f>0-O240-M240</f>
        <v>0</v>
      </c>
      <c r="R240" s="429"/>
      <c r="S240" s="227">
        <f>0-Q240-O240-M240</f>
        <v>0</v>
      </c>
      <c r="T240" s="642">
        <f>R240+P240+N240+L240</f>
        <v>0</v>
      </c>
      <c r="U240" s="659">
        <f t="shared" ref="U240" si="65">M240+O240+Q240+S240</f>
        <v>0</v>
      </c>
      <c r="V240" s="662">
        <f t="shared" si="64"/>
        <v>0</v>
      </c>
      <c r="W240" s="227">
        <f t="shared" si="63"/>
        <v>0</v>
      </c>
      <c r="X240" s="337">
        <f t="shared" ref="X240" si="66">V240/E240*100%</f>
        <v>0</v>
      </c>
      <c r="Y240" s="337">
        <f t="shared" ref="Y240" si="67">W240/G240*100%</f>
        <v>0</v>
      </c>
      <c r="Z240" s="237" t="s">
        <v>325</v>
      </c>
      <c r="AA240" s="422"/>
      <c r="AB240" s="349"/>
    </row>
    <row r="241" spans="1:28" s="348" customFormat="1" x14ac:dyDescent="0.3">
      <c r="A241" s="1019"/>
      <c r="B241" s="1019"/>
      <c r="C241" s="1020"/>
      <c r="D241" s="1020"/>
      <c r="E241" s="1021"/>
      <c r="F241" s="1022"/>
      <c r="G241" s="1023"/>
      <c r="H241" s="1024"/>
      <c r="I241" s="1023"/>
      <c r="J241" s="1024"/>
      <c r="K241" s="1023"/>
      <c r="L241" s="1024"/>
      <c r="M241" s="1025"/>
      <c r="N241" s="1024"/>
      <c r="O241" s="1025"/>
      <c r="P241" s="1026"/>
      <c r="Q241" s="1025"/>
      <c r="R241" s="1026"/>
      <c r="S241" s="1027"/>
      <c r="T241" s="1028"/>
      <c r="U241" s="1025"/>
      <c r="V241" s="1029"/>
      <c r="W241" s="1027"/>
      <c r="X241" s="1030"/>
      <c r="Y241" s="1030"/>
      <c r="Z241" s="1031"/>
      <c r="AA241" s="422"/>
      <c r="AB241" s="349"/>
    </row>
    <row r="242" spans="1:28" s="348" customFormat="1" x14ac:dyDescent="0.3">
      <c r="A242" s="1032"/>
      <c r="B242" s="1032"/>
      <c r="C242" s="1033"/>
      <c r="D242" s="1033"/>
      <c r="E242" s="1034"/>
      <c r="F242" s="1035"/>
      <c r="G242" s="1036"/>
      <c r="H242" s="1037"/>
      <c r="I242" s="1036"/>
      <c r="J242" s="1037"/>
      <c r="K242" s="1036"/>
      <c r="L242" s="1037"/>
      <c r="M242" s="1038"/>
      <c r="N242" s="1037"/>
      <c r="O242" s="1038"/>
      <c r="P242" s="1039"/>
      <c r="Q242" s="1038"/>
      <c r="R242" s="1039"/>
      <c r="S242" s="1040"/>
      <c r="T242" s="971"/>
      <c r="U242" s="1038"/>
      <c r="V242" s="1041"/>
      <c r="W242" s="1040"/>
      <c r="X242" s="1042"/>
      <c r="Y242" s="1042"/>
      <c r="Z242" s="967"/>
      <c r="AA242" s="422"/>
      <c r="AB242" s="349"/>
    </row>
    <row r="243" spans="1:28" s="348" customFormat="1" x14ac:dyDescent="0.3">
      <c r="A243" s="1032"/>
      <c r="B243" s="1032"/>
      <c r="C243" s="1033"/>
      <c r="D243" s="1033"/>
      <c r="E243" s="1034"/>
      <c r="F243" s="1035"/>
      <c r="G243" s="1036"/>
      <c r="H243" s="1037"/>
      <c r="I243" s="1036"/>
      <c r="J243" s="1037"/>
      <c r="K243" s="1036"/>
      <c r="L243" s="1037"/>
      <c r="M243" s="1038"/>
      <c r="N243" s="1037"/>
      <c r="O243" s="1038"/>
      <c r="P243" s="1039"/>
      <c r="Q243" s="1038"/>
      <c r="R243" s="1039"/>
      <c r="S243" s="1040"/>
      <c r="T243" s="971"/>
      <c r="U243" s="1038"/>
      <c r="V243" s="1041"/>
      <c r="W243" s="1040"/>
      <c r="X243" s="1042"/>
      <c r="Y243" s="1042"/>
      <c r="Z243" s="967"/>
      <c r="AA243" s="422"/>
      <c r="AB243" s="349"/>
    </row>
    <row r="244" spans="1:28" s="348" customFormat="1" x14ac:dyDescent="0.3">
      <c r="A244" s="1032"/>
      <c r="B244" s="1032"/>
      <c r="C244" s="1033"/>
      <c r="D244" s="1033"/>
      <c r="E244" s="1034"/>
      <c r="F244" s="1035"/>
      <c r="G244" s="1036"/>
      <c r="H244" s="1037"/>
      <c r="I244" s="1036"/>
      <c r="J244" s="1037"/>
      <c r="K244" s="1036"/>
      <c r="L244" s="1037"/>
      <c r="M244" s="1038"/>
      <c r="N244" s="1037"/>
      <c r="O244" s="1038"/>
      <c r="P244" s="1039"/>
      <c r="Q244" s="1038"/>
      <c r="R244" s="1039"/>
      <c r="S244" s="1040"/>
      <c r="T244" s="971"/>
      <c r="U244" s="1038"/>
      <c r="V244" s="1041"/>
      <c r="W244" s="1040"/>
      <c r="X244" s="1042"/>
      <c r="Y244" s="1042"/>
      <c r="Z244" s="967"/>
      <c r="AA244" s="422"/>
      <c r="AB244" s="349"/>
    </row>
    <row r="245" spans="1:28" s="348" customFormat="1" x14ac:dyDescent="0.3">
      <c r="A245" s="1032"/>
      <c r="B245" s="1032"/>
      <c r="C245" s="1033"/>
      <c r="D245" s="1033"/>
      <c r="E245" s="1034"/>
      <c r="F245" s="1035"/>
      <c r="G245" s="1036"/>
      <c r="H245" s="1037"/>
      <c r="I245" s="1036"/>
      <c r="J245" s="1037"/>
      <c r="K245" s="1036"/>
      <c r="L245" s="1037"/>
      <c r="M245" s="1038"/>
      <c r="N245" s="1037"/>
      <c r="O245" s="1038"/>
      <c r="P245" s="1039"/>
      <c r="Q245" s="1038"/>
      <c r="R245" s="1039"/>
      <c r="S245" s="1040"/>
      <c r="T245" s="971"/>
      <c r="U245" s="1038"/>
      <c r="V245" s="1041"/>
      <c r="W245" s="1040"/>
      <c r="X245" s="1042"/>
      <c r="Y245" s="1042"/>
      <c r="Z245" s="967"/>
      <c r="AA245" s="422"/>
      <c r="AB245" s="349"/>
    </row>
    <row r="246" spans="1:28" s="348" customFormat="1" x14ac:dyDescent="0.3">
      <c r="A246" s="1032"/>
      <c r="B246" s="1032"/>
      <c r="C246" s="1033"/>
      <c r="D246" s="1033"/>
      <c r="E246" s="1034"/>
      <c r="F246" s="1035"/>
      <c r="G246" s="1036"/>
      <c r="H246" s="1037"/>
      <c r="I246" s="1036"/>
      <c r="J246" s="1037"/>
      <c r="K246" s="1036"/>
      <c r="L246" s="1037"/>
      <c r="M246" s="1038"/>
      <c r="N246" s="1037"/>
      <c r="O246" s="1038"/>
      <c r="P246" s="1039"/>
      <c r="Q246" s="1038"/>
      <c r="R246" s="1039"/>
      <c r="S246" s="1040"/>
      <c r="T246" s="971"/>
      <c r="U246" s="1038"/>
      <c r="V246" s="1041"/>
      <c r="W246" s="1040"/>
      <c r="X246" s="1042"/>
      <c r="Y246" s="1042"/>
      <c r="Z246" s="967"/>
      <c r="AA246" s="422"/>
      <c r="AB246" s="349"/>
    </row>
    <row r="247" spans="1:28" s="348" customFormat="1" x14ac:dyDescent="0.3">
      <c r="A247" s="1032"/>
      <c r="B247" s="1032"/>
      <c r="C247" s="1033"/>
      <c r="D247" s="1033"/>
      <c r="E247" s="1034"/>
      <c r="F247" s="1035"/>
      <c r="G247" s="1036"/>
      <c r="H247" s="1037"/>
      <c r="I247" s="1036"/>
      <c r="J247" s="1037"/>
      <c r="K247" s="1036"/>
      <c r="L247" s="1037"/>
      <c r="M247" s="1038"/>
      <c r="N247" s="1037"/>
      <c r="O247" s="1038"/>
      <c r="P247" s="1039"/>
      <c r="Q247" s="1038"/>
      <c r="R247" s="1039"/>
      <c r="S247" s="1040"/>
      <c r="T247" s="971"/>
      <c r="U247" s="1038"/>
      <c r="V247" s="1041"/>
      <c r="W247" s="1040"/>
      <c r="X247" s="1042"/>
      <c r="Y247" s="1042"/>
      <c r="Z247" s="967"/>
      <c r="AA247" s="422"/>
      <c r="AB247" s="349"/>
    </row>
    <row r="248" spans="1:28" s="348" customFormat="1" x14ac:dyDescent="0.3">
      <c r="A248" s="1032"/>
      <c r="B248" s="1032"/>
      <c r="C248" s="1033"/>
      <c r="D248" s="1033"/>
      <c r="E248" s="1034"/>
      <c r="F248" s="1035"/>
      <c r="G248" s="1036"/>
      <c r="H248" s="1037"/>
      <c r="I248" s="1036"/>
      <c r="J248" s="1037"/>
      <c r="K248" s="1036"/>
      <c r="L248" s="1037"/>
      <c r="M248" s="1038"/>
      <c r="N248" s="1037"/>
      <c r="O248" s="1038"/>
      <c r="P248" s="1039"/>
      <c r="Q248" s="1038"/>
      <c r="R248" s="1039"/>
      <c r="S248" s="1040"/>
      <c r="T248" s="971"/>
      <c r="U248" s="1038"/>
      <c r="V248" s="1041"/>
      <c r="W248" s="1040"/>
      <c r="X248" s="1042"/>
      <c r="Y248" s="1042"/>
      <c r="Z248" s="967"/>
      <c r="AA248" s="422"/>
      <c r="AB248" s="349"/>
    </row>
    <row r="249" spans="1:28" s="348" customFormat="1" x14ac:dyDescent="0.3">
      <c r="A249" s="1032"/>
      <c r="B249" s="1032"/>
      <c r="C249" s="1033"/>
      <c r="D249" s="1033"/>
      <c r="E249" s="1034"/>
      <c r="F249" s="1035"/>
      <c r="G249" s="1036"/>
      <c r="H249" s="1037"/>
      <c r="I249" s="1036"/>
      <c r="J249" s="1037"/>
      <c r="K249" s="1036"/>
      <c r="L249" s="1037"/>
      <c r="M249" s="1038"/>
      <c r="N249" s="1037"/>
      <c r="O249" s="1038"/>
      <c r="P249" s="1039"/>
      <c r="Q249" s="1038"/>
      <c r="R249" s="1039"/>
      <c r="S249" s="1040"/>
      <c r="T249" s="971"/>
      <c r="U249" s="1038"/>
      <c r="V249" s="1041"/>
      <c r="W249" s="1040"/>
      <c r="X249" s="1042"/>
      <c r="Y249" s="1042"/>
      <c r="Z249" s="967"/>
      <c r="AA249" s="422"/>
      <c r="AB249" s="349"/>
    </row>
    <row r="250" spans="1:28" s="348" customFormat="1" x14ac:dyDescent="0.3">
      <c r="A250" s="1032"/>
      <c r="B250" s="1032"/>
      <c r="C250" s="1033"/>
      <c r="D250" s="1033"/>
      <c r="E250" s="1034"/>
      <c r="F250" s="1035"/>
      <c r="G250" s="1036"/>
      <c r="H250" s="1037"/>
      <c r="I250" s="1036"/>
      <c r="J250" s="1037"/>
      <c r="K250" s="1036"/>
      <c r="L250" s="1037"/>
      <c r="M250" s="1038"/>
      <c r="N250" s="1037"/>
      <c r="O250" s="1038"/>
      <c r="P250" s="1039"/>
      <c r="Q250" s="1038"/>
      <c r="R250" s="1039"/>
      <c r="S250" s="1040"/>
      <c r="T250" s="971"/>
      <c r="U250" s="1038"/>
      <c r="V250" s="1041"/>
      <c r="W250" s="1040"/>
      <c r="X250" s="1042"/>
      <c r="Y250" s="1042"/>
      <c r="Z250" s="967"/>
      <c r="AA250" s="422"/>
      <c r="AB250" s="349"/>
    </row>
    <row r="251" spans="1:28" s="348" customFormat="1" ht="14.4" thickBot="1" x14ac:dyDescent="0.35">
      <c r="A251" s="1043"/>
      <c r="B251" s="1043"/>
      <c r="C251" s="1044"/>
      <c r="D251" s="1044"/>
      <c r="E251" s="1045"/>
      <c r="F251" s="1046"/>
      <c r="G251" s="1047"/>
      <c r="H251" s="1048"/>
      <c r="I251" s="1047"/>
      <c r="J251" s="1048"/>
      <c r="K251" s="1047"/>
      <c r="L251" s="1048"/>
      <c r="M251" s="1049"/>
      <c r="N251" s="1048"/>
      <c r="O251" s="1049"/>
      <c r="P251" s="1050"/>
      <c r="Q251" s="1049"/>
      <c r="R251" s="1050"/>
      <c r="S251" s="1051"/>
      <c r="T251" s="1052"/>
      <c r="U251" s="1049"/>
      <c r="V251" s="1053"/>
      <c r="W251" s="1051"/>
      <c r="X251" s="1054"/>
      <c r="Y251" s="1054"/>
      <c r="Z251" s="1055"/>
      <c r="AA251" s="422"/>
      <c r="AB251" s="349"/>
    </row>
    <row r="252" spans="1:28" s="133" customFormat="1" x14ac:dyDescent="0.25">
      <c r="A252" s="776" t="s">
        <v>197</v>
      </c>
      <c r="B252" s="776" t="s">
        <v>246</v>
      </c>
      <c r="C252" s="776" t="s">
        <v>250</v>
      </c>
      <c r="D252" s="776" t="s">
        <v>251</v>
      </c>
      <c r="E252" s="767" t="s">
        <v>350</v>
      </c>
      <c r="F252" s="938"/>
      <c r="G252" s="768"/>
      <c r="H252" s="767" t="s">
        <v>372</v>
      </c>
      <c r="I252" s="768"/>
      <c r="J252" s="767" t="s">
        <v>368</v>
      </c>
      <c r="K252" s="768"/>
      <c r="L252" s="787" t="s">
        <v>383</v>
      </c>
      <c r="M252" s="939"/>
      <c r="N252" s="939"/>
      <c r="O252" s="939"/>
      <c r="P252" s="939"/>
      <c r="Q252" s="939"/>
      <c r="R252" s="939"/>
      <c r="S252" s="788"/>
      <c r="T252" s="767" t="s">
        <v>370</v>
      </c>
      <c r="U252" s="768"/>
      <c r="V252" s="767" t="s">
        <v>374</v>
      </c>
      <c r="W252" s="768"/>
      <c r="X252" s="767" t="s">
        <v>547</v>
      </c>
      <c r="Y252" s="768"/>
      <c r="Z252" s="777" t="s">
        <v>252</v>
      </c>
      <c r="AB252" s="124"/>
    </row>
    <row r="253" spans="1:28" s="133" customFormat="1" x14ac:dyDescent="0.25">
      <c r="A253" s="776"/>
      <c r="B253" s="776"/>
      <c r="C253" s="776"/>
      <c r="D253" s="776"/>
      <c r="E253" s="767"/>
      <c r="F253" s="780"/>
      <c r="G253" s="768"/>
      <c r="H253" s="767"/>
      <c r="I253" s="768"/>
      <c r="J253" s="767"/>
      <c r="K253" s="768"/>
      <c r="L253" s="785" t="s">
        <v>353</v>
      </c>
      <c r="M253" s="786"/>
      <c r="N253" s="789" t="s">
        <v>354</v>
      </c>
      <c r="O253" s="790"/>
      <c r="P253" s="789" t="s">
        <v>355</v>
      </c>
      <c r="Q253" s="790"/>
      <c r="R253" s="789" t="s">
        <v>356</v>
      </c>
      <c r="S253" s="790"/>
      <c r="T253" s="767"/>
      <c r="U253" s="768"/>
      <c r="V253" s="767"/>
      <c r="W253" s="768"/>
      <c r="X253" s="767"/>
      <c r="Y253" s="768"/>
      <c r="Z253" s="783"/>
      <c r="AB253" s="124"/>
    </row>
    <row r="254" spans="1:28" s="133" customFormat="1" ht="33.75" customHeight="1" x14ac:dyDescent="0.25">
      <c r="A254" s="776"/>
      <c r="B254" s="776"/>
      <c r="C254" s="776"/>
      <c r="D254" s="776"/>
      <c r="E254" s="769"/>
      <c r="F254" s="781"/>
      <c r="G254" s="770"/>
      <c r="H254" s="769"/>
      <c r="I254" s="770"/>
      <c r="J254" s="769"/>
      <c r="K254" s="770"/>
      <c r="L254" s="787"/>
      <c r="M254" s="788"/>
      <c r="N254" s="791"/>
      <c r="O254" s="792"/>
      <c r="P254" s="791"/>
      <c r="Q254" s="792"/>
      <c r="R254" s="791"/>
      <c r="S254" s="792"/>
      <c r="T254" s="769"/>
      <c r="U254" s="770"/>
      <c r="V254" s="769"/>
      <c r="W254" s="770"/>
      <c r="X254" s="769"/>
      <c r="Y254" s="770"/>
      <c r="Z254" s="783"/>
      <c r="AA254" s="134"/>
      <c r="AB254" s="124"/>
    </row>
    <row r="255" spans="1:28" s="173" customFormat="1" ht="21.75" customHeight="1" thickBot="1" x14ac:dyDescent="0.3">
      <c r="A255" s="777"/>
      <c r="B255" s="778"/>
      <c r="C255" s="778"/>
      <c r="D255" s="778"/>
      <c r="E255" s="161" t="s">
        <v>234</v>
      </c>
      <c r="F255" s="161" t="s">
        <v>235</v>
      </c>
      <c r="G255" s="161" t="s">
        <v>351</v>
      </c>
      <c r="H255" s="161" t="s">
        <v>234</v>
      </c>
      <c r="I255" s="161" t="s">
        <v>352</v>
      </c>
      <c r="J255" s="161" t="s">
        <v>234</v>
      </c>
      <c r="K255" s="161" t="s">
        <v>352</v>
      </c>
      <c r="L255" s="161" t="s">
        <v>234</v>
      </c>
      <c r="M255" s="619" t="s">
        <v>242</v>
      </c>
      <c r="N255" s="161" t="s">
        <v>234</v>
      </c>
      <c r="O255" s="619" t="s">
        <v>242</v>
      </c>
      <c r="P255" s="161" t="s">
        <v>234</v>
      </c>
      <c r="Q255" s="619" t="s">
        <v>242</v>
      </c>
      <c r="R255" s="161" t="s">
        <v>234</v>
      </c>
      <c r="S255" s="619" t="s">
        <v>242</v>
      </c>
      <c r="T255" s="619" t="s">
        <v>74</v>
      </c>
      <c r="U255" s="619" t="s">
        <v>242</v>
      </c>
      <c r="V255" s="619" t="s">
        <v>74</v>
      </c>
      <c r="W255" s="619" t="s">
        <v>242</v>
      </c>
      <c r="X255" s="619" t="s">
        <v>74</v>
      </c>
      <c r="Y255" s="241" t="s">
        <v>242</v>
      </c>
      <c r="Z255" s="784"/>
      <c r="AB255" s="174"/>
    </row>
    <row r="256" spans="1:28" s="133" customFormat="1" x14ac:dyDescent="0.3">
      <c r="A256" s="162">
        <v>1</v>
      </c>
      <c r="B256" s="162">
        <v>2</v>
      </c>
      <c r="C256" s="163">
        <v>3</v>
      </c>
      <c r="D256" s="163">
        <v>4</v>
      </c>
      <c r="E256" s="809">
        <v>5</v>
      </c>
      <c r="F256" s="810"/>
      <c r="G256" s="811"/>
      <c r="H256" s="809">
        <v>6</v>
      </c>
      <c r="I256" s="811"/>
      <c r="J256" s="809">
        <v>7</v>
      </c>
      <c r="K256" s="811"/>
      <c r="L256" s="803">
        <v>8</v>
      </c>
      <c r="M256" s="804"/>
      <c r="N256" s="803">
        <v>9</v>
      </c>
      <c r="O256" s="804"/>
      <c r="P256" s="803">
        <v>10</v>
      </c>
      <c r="Q256" s="804"/>
      <c r="R256" s="803">
        <v>11</v>
      </c>
      <c r="S256" s="804"/>
      <c r="T256" s="803">
        <v>12</v>
      </c>
      <c r="U256" s="804"/>
      <c r="V256" s="805" t="s">
        <v>243</v>
      </c>
      <c r="W256" s="806"/>
      <c r="X256" s="805" t="s">
        <v>244</v>
      </c>
      <c r="Y256" s="806"/>
      <c r="Z256" s="618">
        <v>15</v>
      </c>
      <c r="AB256" s="124"/>
    </row>
    <row r="257" spans="1:28" s="348" customFormat="1" ht="69.599999999999994" thickBot="1" x14ac:dyDescent="0.35">
      <c r="A257" s="416"/>
      <c r="B257" s="718"/>
      <c r="C257" s="426" t="s">
        <v>357</v>
      </c>
      <c r="D257" s="426" t="s">
        <v>518</v>
      </c>
      <c r="E257" s="417">
        <v>13</v>
      </c>
      <c r="F257" s="427" t="s">
        <v>519</v>
      </c>
      <c r="G257" s="659">
        <v>2000000</v>
      </c>
      <c r="H257" s="428"/>
      <c r="I257" s="656">
        <v>265605901</v>
      </c>
      <c r="J257" s="428"/>
      <c r="K257" s="656">
        <f>1880000+48000000+12120000</f>
        <v>62000000</v>
      </c>
      <c r="L257" s="428"/>
      <c r="M257" s="659">
        <v>12000000</v>
      </c>
      <c r="N257" s="428"/>
      <c r="O257" s="659">
        <f>20000000-M257</f>
        <v>8000000</v>
      </c>
      <c r="P257" s="429"/>
      <c r="Q257" s="656">
        <f>46880000-O257-M257</f>
        <v>26880000</v>
      </c>
      <c r="R257" s="429"/>
      <c r="S257" s="226">
        <f>61880000-Q257-O257-M257</f>
        <v>15000000</v>
      </c>
      <c r="T257" s="642">
        <f>R257+P257+N257+L257</f>
        <v>0</v>
      </c>
      <c r="U257" s="659">
        <f>M257+O257+Q257+S257</f>
        <v>61880000</v>
      </c>
      <c r="V257" s="662">
        <f t="shared" si="64"/>
        <v>0</v>
      </c>
      <c r="W257" s="411">
        <f t="shared" si="63"/>
        <v>327485901</v>
      </c>
      <c r="X257" s="381">
        <f>V257/E257*100</f>
        <v>0</v>
      </c>
      <c r="Y257" s="381">
        <f>W257/G257*100</f>
        <v>16374.295050000001</v>
      </c>
      <c r="Z257" s="237" t="s">
        <v>325</v>
      </c>
      <c r="AA257" s="422"/>
      <c r="AB257" s="349"/>
    </row>
    <row r="258" spans="1:28" ht="124.8" thickBot="1" x14ac:dyDescent="0.3">
      <c r="A258" s="182"/>
      <c r="B258" s="195" t="s">
        <v>364</v>
      </c>
      <c r="C258" s="136" t="s">
        <v>332</v>
      </c>
      <c r="D258" s="151" t="s">
        <v>333</v>
      </c>
      <c r="E258" s="154">
        <v>0.1958</v>
      </c>
      <c r="F258" s="152"/>
      <c r="G258" s="153">
        <f>G259+G269+G277+G304</f>
        <v>5946405632</v>
      </c>
      <c r="H258" s="154">
        <v>0.19620000000000001</v>
      </c>
      <c r="I258" s="153">
        <f>I259+I269+I277+I304</f>
        <v>2495161200</v>
      </c>
      <c r="J258" s="154" t="s">
        <v>381</v>
      </c>
      <c r="K258" s="153">
        <f>K259+K269+K277+K304</f>
        <v>3568132400</v>
      </c>
      <c r="L258" s="154">
        <v>4.9000000000000002E-2</v>
      </c>
      <c r="M258" s="153">
        <f>M259+M269+M277+M304</f>
        <v>76500000</v>
      </c>
      <c r="N258" s="692">
        <v>4.9050000000000003E-2</v>
      </c>
      <c r="O258" s="208">
        <f>O259+O269+O277+O304</f>
        <v>199067000</v>
      </c>
      <c r="P258" s="693">
        <v>4.9050000000000003E-2</v>
      </c>
      <c r="Q258" s="208">
        <f>Q259+Q269+Q277+Q304</f>
        <v>953058500</v>
      </c>
      <c r="R258" s="693">
        <v>4.9050000000000003E-2</v>
      </c>
      <c r="S258" s="208">
        <f>S259+S269+S277+S304</f>
        <v>1871353000</v>
      </c>
      <c r="T258" s="694">
        <f>L258+N258+P258+R258</f>
        <v>0.19615000000000002</v>
      </c>
      <c r="U258" s="153">
        <f>M258+O258+Q258+S258</f>
        <v>3099978500</v>
      </c>
      <c r="V258" s="168">
        <f>H258+T258</f>
        <v>0.39235000000000003</v>
      </c>
      <c r="W258" s="153">
        <f>I258+U258</f>
        <v>5595139700</v>
      </c>
      <c r="X258" s="180">
        <f>V258/H258*100</f>
        <v>199.97451580020387</v>
      </c>
      <c r="Y258" s="180">
        <f>W258/G258*100</f>
        <v>94.092802379479508</v>
      </c>
      <c r="Z258" s="143" t="s">
        <v>325</v>
      </c>
    </row>
    <row r="259" spans="1:28" s="131" customFormat="1" x14ac:dyDescent="0.25">
      <c r="A259" s="264" t="s">
        <v>528</v>
      </c>
      <c r="B259" s="277"/>
      <c r="C259" s="813" t="s">
        <v>334</v>
      </c>
      <c r="D259" s="813" t="s">
        <v>335</v>
      </c>
      <c r="E259" s="625">
        <v>105</v>
      </c>
      <c r="F259" s="582" t="s">
        <v>404</v>
      </c>
      <c r="G259" s="583">
        <f>SUM(G261:G268)</f>
        <v>911000000</v>
      </c>
      <c r="H259" s="584">
        <v>22</v>
      </c>
      <c r="I259" s="635">
        <f>SUM(I261:I268)</f>
        <v>1577473500</v>
      </c>
      <c r="J259" s="584">
        <v>21</v>
      </c>
      <c r="K259" s="635">
        <f>SUM(K261:K268)</f>
        <v>2008837000</v>
      </c>
      <c r="L259" s="584">
        <v>5</v>
      </c>
      <c r="M259" s="583">
        <f>SUM(M261:M268)</f>
        <v>9000000</v>
      </c>
      <c r="N259" s="584">
        <v>5</v>
      </c>
      <c r="O259" s="585">
        <f>SUM(O261:O268)</f>
        <v>154067000</v>
      </c>
      <c r="P259" s="489">
        <v>5</v>
      </c>
      <c r="Q259" s="585">
        <f>SUM(Q261:Q268)</f>
        <v>570423500</v>
      </c>
      <c r="R259" s="481">
        <v>6</v>
      </c>
      <c r="S259" s="906">
        <f>SUM(S261:S268)</f>
        <v>1181267000</v>
      </c>
      <c r="T259" s="542">
        <f>R259+P259+N259+L259</f>
        <v>21</v>
      </c>
      <c r="U259" s="583">
        <f>M259+O259+Q259+S259</f>
        <v>1914757500</v>
      </c>
      <c r="V259" s="586">
        <f>H259+T259</f>
        <v>43</v>
      </c>
      <c r="W259" s="583">
        <f>I259+U259</f>
        <v>3492231000</v>
      </c>
      <c r="X259" s="528">
        <f>V259/E259*100</f>
        <v>40.952380952380949</v>
      </c>
      <c r="Y259" s="529">
        <f>W259/G259*100</f>
        <v>383.3403951701427</v>
      </c>
      <c r="Z259" s="817" t="s">
        <v>325</v>
      </c>
      <c r="AB259" s="125"/>
    </row>
    <row r="260" spans="1:28" s="131" customFormat="1" ht="58.5" customHeight="1" thickBot="1" x14ac:dyDescent="0.3">
      <c r="A260" s="264"/>
      <c r="B260" s="277"/>
      <c r="C260" s="905"/>
      <c r="D260" s="905"/>
      <c r="E260" s="669"/>
      <c r="F260" s="587"/>
      <c r="G260" s="588" t="s">
        <v>17</v>
      </c>
      <c r="H260" s="669" t="s">
        <v>404</v>
      </c>
      <c r="I260" s="588"/>
      <c r="J260" s="669" t="s">
        <v>373</v>
      </c>
      <c r="K260" s="588"/>
      <c r="L260" s="669" t="s">
        <v>373</v>
      </c>
      <c r="M260" s="588"/>
      <c r="N260" s="669" t="s">
        <v>373</v>
      </c>
      <c r="O260" s="589"/>
      <c r="P260" s="669" t="s">
        <v>373</v>
      </c>
      <c r="Q260" s="589"/>
      <c r="R260" s="669" t="s">
        <v>373</v>
      </c>
      <c r="S260" s="907"/>
      <c r="T260" s="590" t="s">
        <v>404</v>
      </c>
      <c r="U260" s="588"/>
      <c r="V260" s="591"/>
      <c r="W260" s="588"/>
      <c r="X260" s="592"/>
      <c r="Y260" s="593"/>
      <c r="Z260" s="908"/>
      <c r="AB260" s="125"/>
    </row>
    <row r="261" spans="1:28" s="348" customFormat="1" x14ac:dyDescent="0.25">
      <c r="A261" s="430"/>
      <c r="B261" s="431"/>
      <c r="C261" s="794" t="str">
        <f>'[1]2.14 P2KB'!B37</f>
        <v>Advokasi Program KKBPK kepada Stakeholders dan Mitra Kerja</v>
      </c>
      <c r="D261" s="794" t="str">
        <f>'[1]2.14 P2KB'!D37</f>
        <v>Jumlah Organisasi yang Mendapatkan Advokasi Program Bangga Kencana (Pembangunan Keluarga, Kependudukan, dan Keluarga Berencana) kepada Stakeholders dan Mitra Kerja</v>
      </c>
      <c r="E261" s="237">
        <v>89</v>
      </c>
      <c r="F261" s="237"/>
      <c r="G261" s="656">
        <v>760000000</v>
      </c>
      <c r="H261" s="237">
        <v>1</v>
      </c>
      <c r="I261" s="659">
        <v>0</v>
      </c>
      <c r="J261" s="237">
        <v>21</v>
      </c>
      <c r="K261" s="656">
        <v>180637000</v>
      </c>
      <c r="L261" s="237">
        <v>3</v>
      </c>
      <c r="M261" s="656">
        <v>9000000</v>
      </c>
      <c r="N261" s="237">
        <v>3</v>
      </c>
      <c r="O261" s="659">
        <f>15000000-M261</f>
        <v>6000000</v>
      </c>
      <c r="P261" s="198">
        <v>3</v>
      </c>
      <c r="Q261" s="659">
        <f>27000000-O261-M261</f>
        <v>12000000</v>
      </c>
      <c r="R261" s="662">
        <v>12</v>
      </c>
      <c r="S261" s="346">
        <f>168665000-Q261-O261-M261</f>
        <v>141665000</v>
      </c>
      <c r="T261" s="642">
        <f>R261+P261+N261+L261</f>
        <v>21</v>
      </c>
      <c r="U261" s="656">
        <f>M261+O261+Q261+S261</f>
        <v>168665000</v>
      </c>
      <c r="V261" s="663">
        <f>H261+T261</f>
        <v>22</v>
      </c>
      <c r="W261" s="661">
        <f t="shared" ref="W261:W267" si="68">I261+U261</f>
        <v>168665000</v>
      </c>
      <c r="X261" s="362">
        <f>V261/E261*100</f>
        <v>24.719101123595504</v>
      </c>
      <c r="Y261" s="340">
        <f>W261/G261*100</f>
        <v>22.192763157894738</v>
      </c>
      <c r="Z261" s="796" t="s">
        <v>325</v>
      </c>
      <c r="AA261" s="422"/>
      <c r="AB261" s="349"/>
    </row>
    <row r="262" spans="1:28" s="348" customFormat="1" ht="85.5" customHeight="1" x14ac:dyDescent="0.25">
      <c r="A262" s="432"/>
      <c r="B262" s="444"/>
      <c r="C262" s="795"/>
      <c r="D262" s="795"/>
      <c r="E262" s="312"/>
      <c r="F262" s="312" t="s">
        <v>314</v>
      </c>
      <c r="G262" s="657"/>
      <c r="H262" s="312" t="s">
        <v>314</v>
      </c>
      <c r="I262" s="421"/>
      <c r="J262" s="312" t="s">
        <v>314</v>
      </c>
      <c r="K262" s="657"/>
      <c r="L262" s="312" t="s">
        <v>314</v>
      </c>
      <c r="M262" s="657"/>
      <c r="N262" s="312" t="s">
        <v>314</v>
      </c>
      <c r="O262" s="421"/>
      <c r="P262" s="312" t="s">
        <v>314</v>
      </c>
      <c r="Q262" s="421"/>
      <c r="R262" s="312" t="s">
        <v>314</v>
      </c>
      <c r="S262" s="350"/>
      <c r="T262" s="312" t="s">
        <v>314</v>
      </c>
      <c r="U262" s="657"/>
      <c r="V262" s="230"/>
      <c r="W262" s="657"/>
      <c r="X262" s="367"/>
      <c r="Y262" s="338"/>
      <c r="Z262" s="797"/>
      <c r="AB262" s="349"/>
    </row>
    <row r="263" spans="1:28" s="348" customFormat="1" ht="92.25" customHeight="1" x14ac:dyDescent="0.25">
      <c r="A263" s="432"/>
      <c r="B263" s="444"/>
      <c r="C263" s="620" t="s">
        <v>446</v>
      </c>
      <c r="D263" s="644" t="s">
        <v>447</v>
      </c>
      <c r="E263" s="237">
        <v>1</v>
      </c>
      <c r="F263" s="433" t="s">
        <v>156</v>
      </c>
      <c r="G263" s="434">
        <v>2000000</v>
      </c>
      <c r="H263" s="237">
        <v>1</v>
      </c>
      <c r="I263" s="435">
        <v>508400000</v>
      </c>
      <c r="J263" s="237"/>
      <c r="K263" s="435">
        <v>482400000</v>
      </c>
      <c r="L263" s="237"/>
      <c r="M263" s="435">
        <v>0</v>
      </c>
      <c r="N263" s="237"/>
      <c r="O263" s="435">
        <v>0</v>
      </c>
      <c r="P263" s="198"/>
      <c r="Q263" s="435">
        <f>173400000-O263-M263</f>
        <v>173400000</v>
      </c>
      <c r="R263" s="662"/>
      <c r="S263" s="346">
        <f>482400000-Q263-O263-M263</f>
        <v>309000000</v>
      </c>
      <c r="T263" s="642">
        <f>R263+P263+N263+L263</f>
        <v>0</v>
      </c>
      <c r="U263" s="435">
        <f>SUM(M263+O263+Q263+S263)</f>
        <v>482400000</v>
      </c>
      <c r="V263" s="662">
        <f t="shared" ref="V263:V267" si="69">H263+T264</f>
        <v>2</v>
      </c>
      <c r="W263" s="657">
        <f t="shared" si="68"/>
        <v>990800000</v>
      </c>
      <c r="X263" s="437">
        <f>V263/E263*100</f>
        <v>200</v>
      </c>
      <c r="Y263" s="721">
        <f>W263/G263*100</f>
        <v>49540</v>
      </c>
      <c r="Z263" s="237" t="s">
        <v>325</v>
      </c>
      <c r="AB263" s="349"/>
    </row>
    <row r="264" spans="1:28" s="348" customFormat="1" ht="111" customHeight="1" x14ac:dyDescent="0.25">
      <c r="A264" s="432"/>
      <c r="B264" s="444"/>
      <c r="C264" s="620" t="str">
        <f>'[1]2.14 P2KB'!B40</f>
        <v>Promosi dan KIE Program KKBPK Melalui Media Massa Cetak dan Elektronik serta Media Luar Ruang</v>
      </c>
      <c r="D264" s="620" t="str">
        <f>'[1]2.14 P2KB'!D40</f>
        <v>Jumlah Dokumen Promosi dan KIE Program Bangga Kencana (Pembangunan Keluarga, Kependudukan, dan Keluarga Berencana) Melalui Media Massa Cetak dan Elektronik serta Media Luar Ruang</v>
      </c>
      <c r="E264" s="237">
        <v>7</v>
      </c>
      <c r="F264" s="433" t="s">
        <v>156</v>
      </c>
      <c r="G264" s="434">
        <v>145000000</v>
      </c>
      <c r="H264" s="237">
        <v>1</v>
      </c>
      <c r="I264" s="435">
        <v>154350000</v>
      </c>
      <c r="J264" s="237">
        <v>1</v>
      </c>
      <c r="K264" s="435">
        <f>57985000+4515000+10000000+77500000</f>
        <v>150000000</v>
      </c>
      <c r="L264" s="237"/>
      <c r="M264" s="435">
        <v>0</v>
      </c>
      <c r="N264" s="237"/>
      <c r="O264" s="435">
        <v>0</v>
      </c>
      <c r="P264" s="198"/>
      <c r="Q264" s="435">
        <f>0-O264-M264</f>
        <v>0</v>
      </c>
      <c r="R264" s="662">
        <v>1</v>
      </c>
      <c r="S264" s="346">
        <f>149574000-Q264-O264-M264</f>
        <v>149574000</v>
      </c>
      <c r="T264" s="642">
        <f>R264+P264+N264+L264</f>
        <v>1</v>
      </c>
      <c r="U264" s="435">
        <f>M264+O264+Q264+S264</f>
        <v>149574000</v>
      </c>
      <c r="V264" s="662">
        <f t="shared" si="69"/>
        <v>1</v>
      </c>
      <c r="W264" s="657">
        <f t="shared" si="68"/>
        <v>303924000</v>
      </c>
      <c r="X264" s="367">
        <f>V264/E264*100</f>
        <v>14.285714285714285</v>
      </c>
      <c r="Y264" s="338">
        <f>W264/G264*100</f>
        <v>209.60275862068966</v>
      </c>
      <c r="Z264" s="624" t="s">
        <v>325</v>
      </c>
      <c r="AB264" s="349"/>
    </row>
    <row r="265" spans="1:28" s="348" customFormat="1" ht="96.75" customHeight="1" x14ac:dyDescent="0.25">
      <c r="A265" s="432"/>
      <c r="B265" s="444"/>
      <c r="C265" s="423" t="s">
        <v>365</v>
      </c>
      <c r="D265" s="436" t="s">
        <v>445</v>
      </c>
      <c r="E265" s="237">
        <v>1</v>
      </c>
      <c r="F265" s="433" t="s">
        <v>259</v>
      </c>
      <c r="G265" s="434">
        <v>2000000</v>
      </c>
      <c r="H265" s="237">
        <v>1</v>
      </c>
      <c r="I265" s="435">
        <v>230475000</v>
      </c>
      <c r="J265" s="237"/>
      <c r="K265" s="435">
        <f>1700000+75900000+25500000+19500000+272400000</f>
        <v>395000000</v>
      </c>
      <c r="L265" s="237"/>
      <c r="M265" s="435">
        <v>0</v>
      </c>
      <c r="N265" s="237"/>
      <c r="O265" s="435">
        <v>0</v>
      </c>
      <c r="P265" s="198"/>
      <c r="Q265" s="435">
        <f>123200000-O265-M265</f>
        <v>123200000</v>
      </c>
      <c r="R265" s="662"/>
      <c r="S265" s="346">
        <f>354200000-Q265-O265-M265</f>
        <v>231000000</v>
      </c>
      <c r="T265" s="642">
        <f>R265+P265+N265+L265</f>
        <v>0</v>
      </c>
      <c r="U265" s="435">
        <f>M265+O265+Q265+S265</f>
        <v>354200000</v>
      </c>
      <c r="V265" s="662">
        <f t="shared" si="69"/>
        <v>1</v>
      </c>
      <c r="W265" s="424">
        <f t="shared" si="68"/>
        <v>584675000</v>
      </c>
      <c r="X265" s="437">
        <f>V265/E265*100</f>
        <v>100</v>
      </c>
      <c r="Y265" s="425">
        <f>W265/G265*100</f>
        <v>29233.749999999996</v>
      </c>
      <c r="Z265" s="624" t="s">
        <v>325</v>
      </c>
      <c r="AB265" s="349"/>
    </row>
    <row r="266" spans="1:28" s="348" customFormat="1" ht="99" customHeight="1" thickBot="1" x14ac:dyDescent="0.3">
      <c r="A266" s="432"/>
      <c r="B266" s="444"/>
      <c r="C266" s="423" t="s">
        <v>443</v>
      </c>
      <c r="D266" s="436" t="s">
        <v>444</v>
      </c>
      <c r="E266" s="237">
        <v>1</v>
      </c>
      <c r="F266" s="433" t="s">
        <v>259</v>
      </c>
      <c r="G266" s="434">
        <v>2000000</v>
      </c>
      <c r="H266" s="237">
        <v>1</v>
      </c>
      <c r="I266" s="435">
        <v>610098500</v>
      </c>
      <c r="J266" s="237"/>
      <c r="K266" s="435">
        <f>96850000+140400000+306150000+7800000+31200000+78000000+140400000</f>
        <v>800800000</v>
      </c>
      <c r="L266" s="237"/>
      <c r="M266" s="435">
        <v>0</v>
      </c>
      <c r="N266" s="237"/>
      <c r="O266" s="435">
        <f>2800000+58500000+8700000+150000+600000+18817000+58500000-M266</f>
        <v>148067000</v>
      </c>
      <c r="P266" s="198"/>
      <c r="Q266" s="435">
        <f>409890500-O266-M266</f>
        <v>261823500</v>
      </c>
      <c r="R266" s="662"/>
      <c r="S266" s="346">
        <f>759918500-Q266-O266-M266</f>
        <v>350028000</v>
      </c>
      <c r="T266" s="642">
        <f>R266+P266+N266+L266</f>
        <v>0</v>
      </c>
      <c r="U266" s="434">
        <f>M266+O266+Q266+S266</f>
        <v>759918500</v>
      </c>
      <c r="V266" s="662">
        <f t="shared" si="69"/>
        <v>1</v>
      </c>
      <c r="W266" s="424">
        <f t="shared" si="68"/>
        <v>1370017000</v>
      </c>
      <c r="X266" s="437">
        <f>V266/E266*100</f>
        <v>100</v>
      </c>
      <c r="Y266" s="425">
        <f>W266/G266*100</f>
        <v>68500.850000000006</v>
      </c>
      <c r="Z266" s="624" t="s">
        <v>325</v>
      </c>
      <c r="AB266" s="349"/>
    </row>
    <row r="267" spans="1:28" s="348" customFormat="1" ht="24.75" hidden="1" customHeight="1" x14ac:dyDescent="0.25">
      <c r="A267" s="432"/>
      <c r="B267" s="444"/>
      <c r="C267" s="818" t="s">
        <v>358</v>
      </c>
      <c r="D267" s="796"/>
      <c r="E267" s="237">
        <v>1</v>
      </c>
      <c r="F267" s="438"/>
      <c r="G267" s="435">
        <v>0</v>
      </c>
      <c r="H267" s="237">
        <v>1</v>
      </c>
      <c r="I267" s="435">
        <v>74150000</v>
      </c>
      <c r="J267" s="237"/>
      <c r="K267" s="435">
        <v>0</v>
      </c>
      <c r="L267" s="237"/>
      <c r="M267" s="435">
        <v>0</v>
      </c>
      <c r="N267" s="237"/>
      <c r="O267" s="435">
        <v>0</v>
      </c>
      <c r="P267" s="198"/>
      <c r="Q267" s="478">
        <v>0</v>
      </c>
      <c r="R267" s="662"/>
      <c r="S267" s="346">
        <v>0</v>
      </c>
      <c r="T267" s="642">
        <f>R267+P267+N267+L267</f>
        <v>0</v>
      </c>
      <c r="U267" s="435">
        <f>M267+O267+Q267+S267</f>
        <v>0</v>
      </c>
      <c r="V267" s="662">
        <f t="shared" si="69"/>
        <v>1</v>
      </c>
      <c r="W267" s="661">
        <f t="shared" si="68"/>
        <v>74150000</v>
      </c>
      <c r="X267" s="362">
        <f t="shared" ref="X267" si="70">V267/E267*100%</f>
        <v>1</v>
      </c>
      <c r="Y267" s="340">
        <f>G267/W267</f>
        <v>0</v>
      </c>
      <c r="Z267" s="796" t="s">
        <v>325</v>
      </c>
      <c r="AB267" s="349"/>
    </row>
    <row r="268" spans="1:28" s="348" customFormat="1" ht="30" hidden="1" customHeight="1" thickBot="1" x14ac:dyDescent="0.3">
      <c r="A268" s="432"/>
      <c r="B268" s="444"/>
      <c r="C268" s="819"/>
      <c r="D268" s="797"/>
      <c r="E268" s="312"/>
      <c r="F268" s="312" t="s">
        <v>156</v>
      </c>
      <c r="G268" s="439"/>
      <c r="H268" s="312" t="s">
        <v>156</v>
      </c>
      <c r="I268" s="440"/>
      <c r="J268" s="312"/>
      <c r="K268" s="440"/>
      <c r="L268" s="312"/>
      <c r="M268" s="440"/>
      <c r="N268" s="312"/>
      <c r="O268" s="440"/>
      <c r="P268" s="216"/>
      <c r="Q268" s="479"/>
      <c r="R268" s="663"/>
      <c r="S268" s="353"/>
      <c r="T268" s="199"/>
      <c r="U268" s="439"/>
      <c r="V268" s="230"/>
      <c r="W268" s="661"/>
      <c r="X268" s="362"/>
      <c r="Y268" s="340"/>
      <c r="Z268" s="797"/>
      <c r="AB268" s="349"/>
    </row>
    <row r="269" spans="1:28" s="131" customFormat="1" x14ac:dyDescent="0.25">
      <c r="A269" s="266"/>
      <c r="B269" s="155"/>
      <c r="C269" s="871" t="str">
        <f>'[1]2.14 P2KB'!B45</f>
        <v>Pendayagunaan Tenaga Penyuluh KB/ Petugas Lapangan KB (PKB/ PLKB)</v>
      </c>
      <c r="D269" s="871" t="s">
        <v>336</v>
      </c>
      <c r="E269" s="594">
        <v>1</v>
      </c>
      <c r="F269" s="594"/>
      <c r="G269" s="595">
        <f>SUM(G271:G276)</f>
        <v>3687405632</v>
      </c>
      <c r="H269" s="594">
        <v>1</v>
      </c>
      <c r="I269" s="595">
        <f>SUM(I271:I276)</f>
        <v>290984800</v>
      </c>
      <c r="J269" s="594">
        <v>1</v>
      </c>
      <c r="K269" s="595">
        <f>SUM(K271:K276)</f>
        <v>360524600</v>
      </c>
      <c r="L269" s="594">
        <v>0.25</v>
      </c>
      <c r="M269" s="595">
        <f>SUM(M271:M276)</f>
        <v>63000000</v>
      </c>
      <c r="N269" s="594">
        <v>0.25</v>
      </c>
      <c r="O269" s="596">
        <f>SUM(O271:O276)</f>
        <v>42000000</v>
      </c>
      <c r="P269" s="597">
        <v>0.25</v>
      </c>
      <c r="Q269" s="596">
        <f>SUM(Q271:Q276)</f>
        <v>84000000</v>
      </c>
      <c r="R269" s="597">
        <v>0.25</v>
      </c>
      <c r="S269" s="909">
        <f>SUM(S271:S276)</f>
        <v>169824600</v>
      </c>
      <c r="T269" s="695">
        <f>R269+P269+N269+L269</f>
        <v>1</v>
      </c>
      <c r="U269" s="595">
        <f>M269+O269+Q269+S269</f>
        <v>358824600</v>
      </c>
      <c r="V269" s="597">
        <f>H269+T270</f>
        <v>1</v>
      </c>
      <c r="W269" s="595">
        <f>I269+U269</f>
        <v>649809400</v>
      </c>
      <c r="X269" s="536">
        <f>V269/E269*100</f>
        <v>100</v>
      </c>
      <c r="Y269" s="536">
        <f>W269/G269*100</f>
        <v>17.622400811042642</v>
      </c>
      <c r="Z269" s="877" t="s">
        <v>325</v>
      </c>
      <c r="AB269" s="125"/>
    </row>
    <row r="270" spans="1:28" s="131" customFormat="1" ht="57.75" customHeight="1" x14ac:dyDescent="0.25">
      <c r="A270" s="264"/>
      <c r="B270" s="265"/>
      <c r="C270" s="863"/>
      <c r="D270" s="863"/>
      <c r="E270" s="598"/>
      <c r="F270" s="598" t="s">
        <v>263</v>
      </c>
      <c r="G270" s="599"/>
      <c r="H270" s="598"/>
      <c r="I270" s="599"/>
      <c r="J270" s="598"/>
      <c r="K270" s="599"/>
      <c r="L270" s="598"/>
      <c r="M270" s="599"/>
      <c r="N270" s="598"/>
      <c r="O270" s="600"/>
      <c r="P270" s="601"/>
      <c r="Q270" s="600"/>
      <c r="R270" s="601"/>
      <c r="S270" s="900"/>
      <c r="T270" s="601"/>
      <c r="U270" s="599"/>
      <c r="V270" s="602"/>
      <c r="W270" s="599"/>
      <c r="X270" s="532"/>
      <c r="Y270" s="532"/>
      <c r="Z270" s="910"/>
      <c r="AB270" s="125"/>
    </row>
    <row r="271" spans="1:28" s="348" customFormat="1" ht="23.25" customHeight="1" x14ac:dyDescent="0.25">
      <c r="A271" s="432"/>
      <c r="B271" s="444"/>
      <c r="C271" s="794" t="s">
        <v>337</v>
      </c>
      <c r="D271" s="794" t="str">
        <f>'[1]2.14 P2KB'!D49</f>
        <v>Jumlah Kader yang Mengikuti Penggerakan Kader Institusi Masyarakat Pedesaan (IMP)</v>
      </c>
      <c r="E271" s="237">
        <v>1172</v>
      </c>
      <c r="F271" s="237"/>
      <c r="G271" s="656">
        <v>800000000</v>
      </c>
      <c r="H271" s="237">
        <v>50</v>
      </c>
      <c r="I271" s="890">
        <v>0</v>
      </c>
      <c r="J271" s="237">
        <v>268</v>
      </c>
      <c r="K271" s="890">
        <v>61279800</v>
      </c>
      <c r="L271" s="237"/>
      <c r="M271" s="894">
        <v>0</v>
      </c>
      <c r="N271" s="237"/>
      <c r="O271" s="894">
        <v>0</v>
      </c>
      <c r="P271" s="662"/>
      <c r="Q271" s="659">
        <f>0-O271-M271</f>
        <v>0</v>
      </c>
      <c r="R271" s="662">
        <v>268</v>
      </c>
      <c r="S271" s="911">
        <f>60379800-Q271-O271-M271</f>
        <v>60379800</v>
      </c>
      <c r="T271" s="642">
        <f>R271+P271+N271+L271</f>
        <v>268</v>
      </c>
      <c r="U271" s="894">
        <f t="shared" ref="U271:U309" si="71">M271+O271+Q271+S271</f>
        <v>60379800</v>
      </c>
      <c r="V271" s="441">
        <f>H271+T271</f>
        <v>318</v>
      </c>
      <c r="W271" s="894">
        <f>I271+U271</f>
        <v>60379800</v>
      </c>
      <c r="X271" s="340">
        <f>V271/E271*100</f>
        <v>27.13310580204778</v>
      </c>
      <c r="Y271" s="340">
        <f>W271/G271*100</f>
        <v>7.5474749999999995</v>
      </c>
      <c r="Z271" s="796" t="s">
        <v>325</v>
      </c>
      <c r="AB271" s="349"/>
    </row>
    <row r="272" spans="1:28" s="348" customFormat="1" ht="48" customHeight="1" x14ac:dyDescent="0.25">
      <c r="A272" s="432"/>
      <c r="B272" s="444"/>
      <c r="C272" s="834"/>
      <c r="D272" s="834"/>
      <c r="E272" s="312"/>
      <c r="F272" s="312" t="s">
        <v>238</v>
      </c>
      <c r="G272" s="661"/>
      <c r="H272" s="312" t="s">
        <v>239</v>
      </c>
      <c r="I272" s="896"/>
      <c r="J272" s="312" t="s">
        <v>239</v>
      </c>
      <c r="K272" s="896"/>
      <c r="L272" s="312" t="s">
        <v>239</v>
      </c>
      <c r="M272" s="895"/>
      <c r="N272" s="312" t="s">
        <v>239</v>
      </c>
      <c r="O272" s="895"/>
      <c r="P272" s="312" t="s">
        <v>239</v>
      </c>
      <c r="Q272" s="660"/>
      <c r="R272" s="312" t="s">
        <v>239</v>
      </c>
      <c r="S272" s="912"/>
      <c r="T272" s="312" t="s">
        <v>239</v>
      </c>
      <c r="U272" s="895">
        <f t="shared" si="71"/>
        <v>0</v>
      </c>
      <c r="V272" s="442"/>
      <c r="W272" s="895"/>
      <c r="X272" s="338"/>
      <c r="Y272" s="338"/>
      <c r="Z272" s="824"/>
      <c r="AB272" s="349"/>
    </row>
    <row r="273" spans="1:28" s="348" customFormat="1" ht="26.25" hidden="1" customHeight="1" x14ac:dyDescent="0.25">
      <c r="A273" s="443"/>
      <c r="B273" s="444"/>
      <c r="C273" s="818" t="s">
        <v>505</v>
      </c>
      <c r="D273" s="818" t="s">
        <v>506</v>
      </c>
      <c r="E273" s="237">
        <v>2</v>
      </c>
      <c r="F273" s="237"/>
      <c r="G273" s="656">
        <v>1678000000</v>
      </c>
      <c r="H273" s="237">
        <v>2</v>
      </c>
      <c r="I273" s="656">
        <v>290984800</v>
      </c>
      <c r="J273" s="237"/>
      <c r="K273" s="659">
        <v>0</v>
      </c>
      <c r="L273" s="237"/>
      <c r="M273" s="659">
        <v>0</v>
      </c>
      <c r="N273" s="237"/>
      <c r="O273" s="659">
        <v>0</v>
      </c>
      <c r="P273" s="662"/>
      <c r="Q273" s="659">
        <v>0</v>
      </c>
      <c r="R273" s="662"/>
      <c r="S273" s="346">
        <v>0</v>
      </c>
      <c r="T273" s="642">
        <f>R273+P273+N273+L273</f>
        <v>0</v>
      </c>
      <c r="U273" s="894">
        <f t="shared" si="71"/>
        <v>0</v>
      </c>
      <c r="V273" s="441">
        <f t="shared" ref="V273" si="72">H273+T274</f>
        <v>2</v>
      </c>
      <c r="W273" s="894">
        <f>I273+U273</f>
        <v>290984800</v>
      </c>
      <c r="X273" s="340">
        <f t="shared" ref="X273" si="73">V273/E273*100%</f>
        <v>1</v>
      </c>
      <c r="Y273" s="340">
        <f t="shared" ref="Y273" si="74">W273/G273*100%</f>
        <v>0.17341168057210965</v>
      </c>
      <c r="Z273" s="796" t="s">
        <v>325</v>
      </c>
      <c r="AB273" s="349"/>
    </row>
    <row r="274" spans="1:28" s="348" customFormat="1" ht="80.25" hidden="1" customHeight="1" x14ac:dyDescent="0.25">
      <c r="A274" s="443"/>
      <c r="B274" s="444"/>
      <c r="C274" s="819"/>
      <c r="D274" s="819"/>
      <c r="E274" s="312"/>
      <c r="F274" s="312" t="s">
        <v>259</v>
      </c>
      <c r="G274" s="661"/>
      <c r="H274" s="312" t="s">
        <v>259</v>
      </c>
      <c r="I274" s="661"/>
      <c r="J274" s="312"/>
      <c r="K274" s="661"/>
      <c r="L274" s="312"/>
      <c r="M274" s="660"/>
      <c r="N274" s="312"/>
      <c r="O274" s="660"/>
      <c r="P274" s="663"/>
      <c r="Q274" s="660"/>
      <c r="R274" s="663"/>
      <c r="S274" s="353"/>
      <c r="T274" s="663"/>
      <c r="U274" s="895">
        <f t="shared" si="71"/>
        <v>0</v>
      </c>
      <c r="V274" s="442"/>
      <c r="W274" s="895"/>
      <c r="X274" s="338"/>
      <c r="Y274" s="338"/>
      <c r="Z274" s="824"/>
      <c r="AB274" s="349"/>
    </row>
    <row r="275" spans="1:28" s="348" customFormat="1" ht="44.25" customHeight="1" x14ac:dyDescent="0.25">
      <c r="A275" s="443"/>
      <c r="B275" s="444"/>
      <c r="C275" s="818" t="s">
        <v>503</v>
      </c>
      <c r="D275" s="913" t="s">
        <v>504</v>
      </c>
      <c r="E275" s="237">
        <v>52</v>
      </c>
      <c r="F275" s="237"/>
      <c r="G275" s="656">
        <f>2887405632-G273</f>
        <v>1209405632</v>
      </c>
      <c r="H275" s="237"/>
      <c r="I275" s="656"/>
      <c r="J275" s="237">
        <v>12</v>
      </c>
      <c r="K275" s="656">
        <f>3250000+2104800+5840000+4000000+252000000+28050000+4000000</f>
        <v>299244800</v>
      </c>
      <c r="L275" s="237">
        <v>3</v>
      </c>
      <c r="M275" s="659">
        <f>63000000</f>
        <v>63000000</v>
      </c>
      <c r="N275" s="237">
        <v>3</v>
      </c>
      <c r="O275" s="659">
        <f>105000000-M275</f>
        <v>42000000</v>
      </c>
      <c r="P275" s="662">
        <v>3</v>
      </c>
      <c r="Q275" s="659">
        <f>189000000-O275-M275</f>
        <v>84000000</v>
      </c>
      <c r="R275" s="662">
        <v>3</v>
      </c>
      <c r="S275" s="346">
        <f>298444800-Q275-O275-M275</f>
        <v>109444800</v>
      </c>
      <c r="T275" s="642">
        <f>R275+P275+N275+L275</f>
        <v>12</v>
      </c>
      <c r="U275" s="894">
        <f t="shared" si="71"/>
        <v>298444800</v>
      </c>
      <c r="V275" s="441">
        <f>T275+H275</f>
        <v>12</v>
      </c>
      <c r="W275" s="894">
        <f>I275+U275</f>
        <v>298444800</v>
      </c>
      <c r="X275" s="340">
        <f>V275/E275*100</f>
        <v>23.076923076923077</v>
      </c>
      <c r="Y275" s="340">
        <f>W275/G275*100</f>
        <v>24.676981163586976</v>
      </c>
      <c r="Z275" s="796" t="s">
        <v>325</v>
      </c>
      <c r="AB275" s="349"/>
    </row>
    <row r="276" spans="1:28" s="348" customFormat="1" ht="71.400000000000006" customHeight="1" x14ac:dyDescent="0.25">
      <c r="A276" s="444"/>
      <c r="B276" s="445"/>
      <c r="C276" s="819"/>
      <c r="D276" s="819"/>
      <c r="E276" s="307"/>
      <c r="F276" s="307" t="s">
        <v>259</v>
      </c>
      <c r="G276" s="657"/>
      <c r="H276" s="307"/>
      <c r="I276" s="657"/>
      <c r="J276" s="307" t="s">
        <v>259</v>
      </c>
      <c r="K276" s="657"/>
      <c r="L276" s="307" t="s">
        <v>259</v>
      </c>
      <c r="M276" s="421"/>
      <c r="N276" s="307" t="s">
        <v>259</v>
      </c>
      <c r="O276" s="421"/>
      <c r="P276" s="307" t="s">
        <v>259</v>
      </c>
      <c r="Q276" s="421"/>
      <c r="R276" s="307" t="s">
        <v>259</v>
      </c>
      <c r="S276" s="350"/>
      <c r="T276" s="307" t="s">
        <v>259</v>
      </c>
      <c r="U276" s="895">
        <f t="shared" si="71"/>
        <v>0</v>
      </c>
      <c r="V276" s="442"/>
      <c r="W276" s="895"/>
      <c r="X276" s="338"/>
      <c r="Y276" s="338"/>
      <c r="Z276" s="824"/>
      <c r="AB276" s="349"/>
    </row>
    <row r="277" spans="1:28" s="131" customFormat="1" ht="78.75" customHeight="1" x14ac:dyDescent="0.25">
      <c r="A277" s="139"/>
      <c r="B277" s="139"/>
      <c r="C277" s="603" t="str">
        <f>'[1]2.14 P2KB'!B50</f>
        <v>Pengendalian dan Pendistribusian Kebutuhan Alat dan Obat Kontrasepsi serta Pelaksanaan Pelayanan KB di Daerah Kabupaten/Kota</v>
      </c>
      <c r="D277" s="603" t="s">
        <v>338</v>
      </c>
      <c r="E277" s="604">
        <v>1</v>
      </c>
      <c r="F277" s="604" t="s">
        <v>237</v>
      </c>
      <c r="G277" s="605">
        <f>SUM(G278:G303)</f>
        <v>796000000</v>
      </c>
      <c r="H277" s="604">
        <v>0.2</v>
      </c>
      <c r="I277" s="606">
        <f>SUM(I278:I303)</f>
        <v>300764400</v>
      </c>
      <c r="J277" s="604">
        <v>1</v>
      </c>
      <c r="K277" s="606">
        <f>SUM(K278:K303)</f>
        <v>920461000</v>
      </c>
      <c r="L277" s="604">
        <v>0.25</v>
      </c>
      <c r="M277" s="606">
        <f>SUM(M298:M303)</f>
        <v>4500000</v>
      </c>
      <c r="N277" s="604">
        <v>0.25</v>
      </c>
      <c r="O277" s="606">
        <f>SUM(O278:O303)</f>
        <v>3000000</v>
      </c>
      <c r="P277" s="607">
        <v>0.25</v>
      </c>
      <c r="Q277" s="606">
        <f>SUM(Q278:Q303)</f>
        <v>231135000</v>
      </c>
      <c r="R277" s="607">
        <v>0.25</v>
      </c>
      <c r="S277" s="606">
        <f>SUM(S278:S303)</f>
        <v>336721600</v>
      </c>
      <c r="T277" s="696">
        <f>R277+P277+N277+L277</f>
        <v>1</v>
      </c>
      <c r="U277" s="606">
        <f>M277+O277+Q277+S277</f>
        <v>575356600</v>
      </c>
      <c r="V277" s="607">
        <f>H277+T277</f>
        <v>1.2</v>
      </c>
      <c r="W277" s="606">
        <f>I277+U277</f>
        <v>876121000</v>
      </c>
      <c r="X277" s="611">
        <f>V277/E277*100</f>
        <v>120</v>
      </c>
      <c r="Y277" s="611">
        <f>W277/G277*100</f>
        <v>110.06545226130653</v>
      </c>
      <c r="Z277" s="608"/>
      <c r="AB277" s="125"/>
    </row>
    <row r="278" spans="1:28" s="348" customFormat="1" ht="36" hidden="1" customHeight="1" x14ac:dyDescent="0.25">
      <c r="A278" s="626"/>
      <c r="B278" s="626"/>
      <c r="C278" s="818" t="s">
        <v>521</v>
      </c>
      <c r="D278" s="818" t="s">
        <v>522</v>
      </c>
      <c r="E278" s="237">
        <v>1</v>
      </c>
      <c r="F278" s="446"/>
      <c r="G278" s="447">
        <v>2000000</v>
      </c>
      <c r="H278" s="448">
        <v>0</v>
      </c>
      <c r="I278" s="393">
        <v>0</v>
      </c>
      <c r="J278" s="446"/>
      <c r="K278" s="393">
        <v>0</v>
      </c>
      <c r="L278" s="446"/>
      <c r="M278" s="393">
        <v>0</v>
      </c>
      <c r="N278" s="446"/>
      <c r="O278" s="393">
        <v>0</v>
      </c>
      <c r="P278" s="449"/>
      <c r="Q278" s="393">
        <v>0</v>
      </c>
      <c r="R278" s="449"/>
      <c r="S278" s="393">
        <v>0</v>
      </c>
      <c r="T278" s="642">
        <f>R278+P278+N278+L278</f>
        <v>0</v>
      </c>
      <c r="U278" s="393">
        <f>M278+O278+Q278+S278</f>
        <v>0</v>
      </c>
      <c r="V278" s="450">
        <f t="shared" ref="V278:W303" si="75">H278+T278</f>
        <v>0</v>
      </c>
      <c r="W278" s="451">
        <f t="shared" si="75"/>
        <v>0</v>
      </c>
      <c r="X278" s="337">
        <f t="shared" ref="X278:X300" si="76">V278/E278*100%</f>
        <v>0</v>
      </c>
      <c r="Y278" s="337">
        <f t="shared" ref="Y278:Y300" si="77">W278/G278*100%</f>
        <v>0</v>
      </c>
      <c r="Z278" s="796" t="s">
        <v>325</v>
      </c>
      <c r="AB278" s="349"/>
    </row>
    <row r="279" spans="1:28" s="348" customFormat="1" ht="43.5" hidden="1" customHeight="1" x14ac:dyDescent="0.25">
      <c r="A279" s="626"/>
      <c r="B279" s="626"/>
      <c r="C279" s="820"/>
      <c r="D279" s="820"/>
      <c r="E279" s="315"/>
      <c r="F279" s="315" t="s">
        <v>156</v>
      </c>
      <c r="G279" s="452"/>
      <c r="H279" s="315"/>
      <c r="I279" s="453"/>
      <c r="J279" s="315"/>
      <c r="K279" s="453"/>
      <c r="L279" s="315"/>
      <c r="M279" s="453"/>
      <c r="N279" s="315"/>
      <c r="O279" s="453"/>
      <c r="P279" s="454"/>
      <c r="Q279" s="453"/>
      <c r="R279" s="454"/>
      <c r="S279" s="453"/>
      <c r="T279" s="454"/>
      <c r="U279" s="394"/>
      <c r="V279" s="455"/>
      <c r="W279" s="232"/>
      <c r="X279" s="338"/>
      <c r="Y279" s="338"/>
      <c r="Z279" s="824"/>
      <c r="AB279" s="349"/>
    </row>
    <row r="280" spans="1:28" s="348" customFormat="1" ht="38.25" hidden="1" customHeight="1" x14ac:dyDescent="0.25">
      <c r="A280" s="626"/>
      <c r="B280" s="626"/>
      <c r="C280" s="818" t="s">
        <v>523</v>
      </c>
      <c r="D280" s="818" t="s">
        <v>524</v>
      </c>
      <c r="E280" s="237">
        <v>3083</v>
      </c>
      <c r="F280" s="446"/>
      <c r="G280" s="447">
        <v>330000000</v>
      </c>
      <c r="H280" s="448">
        <v>0</v>
      </c>
      <c r="I280" s="393">
        <v>0</v>
      </c>
      <c r="J280" s="446">
        <v>6.2</v>
      </c>
      <c r="K280" s="393">
        <v>0</v>
      </c>
      <c r="L280" s="446"/>
      <c r="M280" s="393">
        <v>0</v>
      </c>
      <c r="N280" s="446"/>
      <c r="O280" s="393">
        <v>0</v>
      </c>
      <c r="P280" s="449"/>
      <c r="Q280" s="393">
        <v>0</v>
      </c>
      <c r="R280" s="449"/>
      <c r="S280" s="393">
        <v>0</v>
      </c>
      <c r="T280" s="642">
        <f>R280+P280+N280+L280</f>
        <v>0</v>
      </c>
      <c r="U280" s="393">
        <f t="shared" ref="U280:U300" si="78">M280+O280+Q280+S280</f>
        <v>0</v>
      </c>
      <c r="V280" s="456">
        <f>H280+T280</f>
        <v>0</v>
      </c>
      <c r="W280" s="231">
        <f t="shared" si="75"/>
        <v>0</v>
      </c>
      <c r="X280" s="340">
        <f t="shared" si="76"/>
        <v>0</v>
      </c>
      <c r="Y280" s="340">
        <f t="shared" si="77"/>
        <v>0</v>
      </c>
      <c r="Z280" s="796" t="s">
        <v>339</v>
      </c>
      <c r="AB280" s="349"/>
    </row>
    <row r="281" spans="1:28" s="348" customFormat="1" ht="38.25" hidden="1" customHeight="1" x14ac:dyDescent="0.25">
      <c r="A281" s="626"/>
      <c r="B281" s="626"/>
      <c r="C281" s="820"/>
      <c r="D281" s="820"/>
      <c r="E281" s="315"/>
      <c r="F281" s="315" t="s">
        <v>239</v>
      </c>
      <c r="G281" s="452"/>
      <c r="H281" s="458"/>
      <c r="I281" s="453"/>
      <c r="J281" s="315" t="s">
        <v>239</v>
      </c>
      <c r="K281" s="453"/>
      <c r="L281" s="315"/>
      <c r="M281" s="453"/>
      <c r="N281" s="315"/>
      <c r="O281" s="453"/>
      <c r="P281" s="454"/>
      <c r="Q281" s="453"/>
      <c r="R281" s="454"/>
      <c r="S281" s="453"/>
      <c r="T281" s="454"/>
      <c r="U281" s="453"/>
      <c r="V281" s="456"/>
      <c r="W281" s="231"/>
      <c r="X281" s="340"/>
      <c r="Y281" s="340"/>
      <c r="Z281" s="824"/>
      <c r="AB281" s="349"/>
    </row>
    <row r="282" spans="1:28" s="348" customFormat="1" x14ac:dyDescent="0.25">
      <c r="A282" s="959"/>
      <c r="B282" s="959"/>
      <c r="C282" s="959"/>
      <c r="D282" s="959"/>
      <c r="E282" s="1056"/>
      <c r="F282" s="1056"/>
      <c r="G282" s="1057"/>
      <c r="H282" s="1058"/>
      <c r="I282" s="1059"/>
      <c r="J282" s="1056"/>
      <c r="K282" s="1059"/>
      <c r="L282" s="1056"/>
      <c r="M282" s="1059"/>
      <c r="N282" s="1056"/>
      <c r="O282" s="1059"/>
      <c r="P282" s="1060"/>
      <c r="Q282" s="1059"/>
      <c r="R282" s="1060"/>
      <c r="S282" s="1059"/>
      <c r="T282" s="1060"/>
      <c r="U282" s="1059"/>
      <c r="V282" s="1061"/>
      <c r="W282" s="1062"/>
      <c r="X282" s="1063"/>
      <c r="Y282" s="1063"/>
      <c r="Z282" s="942"/>
      <c r="AB282" s="349"/>
    </row>
    <row r="283" spans="1:28" s="348" customFormat="1" x14ac:dyDescent="0.25">
      <c r="A283" s="965"/>
      <c r="B283" s="965"/>
      <c r="C283" s="965"/>
      <c r="D283" s="965"/>
      <c r="E283" s="1064"/>
      <c r="F283" s="1064"/>
      <c r="G283" s="1065"/>
      <c r="H283" s="1066"/>
      <c r="I283" s="365"/>
      <c r="J283" s="1064"/>
      <c r="K283" s="365"/>
      <c r="L283" s="1064"/>
      <c r="M283" s="365"/>
      <c r="N283" s="1064"/>
      <c r="O283" s="365"/>
      <c r="P283" s="1067"/>
      <c r="Q283" s="365"/>
      <c r="R283" s="1067"/>
      <c r="S283" s="365"/>
      <c r="T283" s="1067"/>
      <c r="U283" s="365"/>
      <c r="V283" s="1068"/>
      <c r="W283" s="1069"/>
      <c r="X283" s="1042"/>
      <c r="Y283" s="1042"/>
      <c r="Z283" s="967"/>
      <c r="AB283" s="349"/>
    </row>
    <row r="284" spans="1:28" s="348" customFormat="1" x14ac:dyDescent="0.25">
      <c r="A284" s="965"/>
      <c r="B284" s="965"/>
      <c r="C284" s="965"/>
      <c r="D284" s="965"/>
      <c r="E284" s="1064"/>
      <c r="F284" s="1064"/>
      <c r="G284" s="1065"/>
      <c r="H284" s="1066"/>
      <c r="I284" s="365"/>
      <c r="J284" s="1064"/>
      <c r="K284" s="365"/>
      <c r="L284" s="1064"/>
      <c r="M284" s="365"/>
      <c r="N284" s="1064"/>
      <c r="O284" s="365"/>
      <c r="P284" s="1067"/>
      <c r="Q284" s="365"/>
      <c r="R284" s="1067"/>
      <c r="S284" s="365"/>
      <c r="T284" s="1067"/>
      <c r="U284" s="365"/>
      <c r="V284" s="1068"/>
      <c r="W284" s="1069"/>
      <c r="X284" s="1042"/>
      <c r="Y284" s="1042"/>
      <c r="Z284" s="967"/>
      <c r="AB284" s="349"/>
    </row>
    <row r="285" spans="1:28" s="348" customFormat="1" x14ac:dyDescent="0.25">
      <c r="A285" s="965"/>
      <c r="B285" s="965"/>
      <c r="C285" s="965"/>
      <c r="D285" s="965"/>
      <c r="E285" s="1064"/>
      <c r="F285" s="1064"/>
      <c r="G285" s="1065"/>
      <c r="H285" s="1066"/>
      <c r="I285" s="365"/>
      <c r="J285" s="1064"/>
      <c r="K285" s="365"/>
      <c r="L285" s="1064"/>
      <c r="M285" s="365"/>
      <c r="N285" s="1064"/>
      <c r="O285" s="365"/>
      <c r="P285" s="1067"/>
      <c r="Q285" s="365"/>
      <c r="R285" s="1067"/>
      <c r="S285" s="365"/>
      <c r="T285" s="1067"/>
      <c r="U285" s="365"/>
      <c r="V285" s="1068"/>
      <c r="W285" s="1069"/>
      <c r="X285" s="1042"/>
      <c r="Y285" s="1042"/>
      <c r="Z285" s="967"/>
      <c r="AB285" s="349"/>
    </row>
    <row r="286" spans="1:28" s="348" customFormat="1" x14ac:dyDescent="0.25">
      <c r="A286" s="965"/>
      <c r="B286" s="965"/>
      <c r="C286" s="965"/>
      <c r="D286" s="965"/>
      <c r="E286" s="1064"/>
      <c r="F286" s="1064"/>
      <c r="G286" s="1065"/>
      <c r="H286" s="1066"/>
      <c r="I286" s="365"/>
      <c r="J286" s="1064"/>
      <c r="K286" s="365"/>
      <c r="L286" s="1064"/>
      <c r="M286" s="365"/>
      <c r="N286" s="1064"/>
      <c r="O286" s="365"/>
      <c r="P286" s="1067"/>
      <c r="Q286" s="365"/>
      <c r="R286" s="1067"/>
      <c r="S286" s="365"/>
      <c r="T286" s="1067"/>
      <c r="U286" s="365"/>
      <c r="V286" s="1068"/>
      <c r="W286" s="1069"/>
      <c r="X286" s="1042"/>
      <c r="Y286" s="1042"/>
      <c r="Z286" s="967"/>
      <c r="AB286" s="349"/>
    </row>
    <row r="287" spans="1:28" s="348" customFormat="1" x14ac:dyDescent="0.25">
      <c r="A287" s="965"/>
      <c r="B287" s="965"/>
      <c r="C287" s="965"/>
      <c r="D287" s="965"/>
      <c r="E287" s="1064"/>
      <c r="F287" s="1064"/>
      <c r="G287" s="1065"/>
      <c r="H287" s="1066"/>
      <c r="I287" s="365"/>
      <c r="J287" s="1064"/>
      <c r="K287" s="365"/>
      <c r="L287" s="1064"/>
      <c r="M287" s="365"/>
      <c r="N287" s="1064"/>
      <c r="O287" s="365"/>
      <c r="P287" s="1067"/>
      <c r="Q287" s="365"/>
      <c r="R287" s="1067"/>
      <c r="S287" s="365"/>
      <c r="T287" s="1067"/>
      <c r="U287" s="365"/>
      <c r="V287" s="1068"/>
      <c r="W287" s="1069"/>
      <c r="X287" s="1042"/>
      <c r="Y287" s="1042"/>
      <c r="Z287" s="967"/>
      <c r="AB287" s="349"/>
    </row>
    <row r="288" spans="1:28" s="348" customFormat="1" x14ac:dyDescent="0.25">
      <c r="A288" s="965"/>
      <c r="B288" s="965"/>
      <c r="C288" s="965"/>
      <c r="D288" s="965"/>
      <c r="E288" s="1064"/>
      <c r="F288" s="1064"/>
      <c r="G288" s="1065"/>
      <c r="H288" s="1066"/>
      <c r="I288" s="365"/>
      <c r="J288" s="1064"/>
      <c r="K288" s="365"/>
      <c r="L288" s="1064"/>
      <c r="M288" s="365"/>
      <c r="N288" s="1064"/>
      <c r="O288" s="365"/>
      <c r="P288" s="1067"/>
      <c r="Q288" s="365"/>
      <c r="R288" s="1067"/>
      <c r="S288" s="365"/>
      <c r="T288" s="1067"/>
      <c r="U288" s="365"/>
      <c r="V288" s="1068"/>
      <c r="W288" s="1069"/>
      <c r="X288" s="1042"/>
      <c r="Y288" s="1042"/>
      <c r="Z288" s="967"/>
      <c r="AB288" s="349"/>
    </row>
    <row r="289" spans="1:28" s="348" customFormat="1" x14ac:dyDescent="0.25">
      <c r="A289" s="965"/>
      <c r="B289" s="965"/>
      <c r="C289" s="965"/>
      <c r="D289" s="965"/>
      <c r="E289" s="1064"/>
      <c r="F289" s="1064"/>
      <c r="G289" s="1065"/>
      <c r="H289" s="1066"/>
      <c r="I289" s="365"/>
      <c r="J289" s="1064"/>
      <c r="K289" s="365"/>
      <c r="L289" s="1064"/>
      <c r="M289" s="365"/>
      <c r="N289" s="1064"/>
      <c r="O289" s="365"/>
      <c r="P289" s="1067"/>
      <c r="Q289" s="365"/>
      <c r="R289" s="1067"/>
      <c r="S289" s="365"/>
      <c r="T289" s="1067"/>
      <c r="U289" s="365"/>
      <c r="V289" s="1068"/>
      <c r="W289" s="1069"/>
      <c r="X289" s="1042"/>
      <c r="Y289" s="1042"/>
      <c r="Z289" s="967"/>
      <c r="AB289" s="349"/>
    </row>
    <row r="290" spans="1:28" s="348" customFormat="1" x14ac:dyDescent="0.25">
      <c r="A290" s="965"/>
      <c r="B290" s="965"/>
      <c r="C290" s="965"/>
      <c r="D290" s="965"/>
      <c r="E290" s="1064"/>
      <c r="F290" s="1064"/>
      <c r="G290" s="1065"/>
      <c r="H290" s="1066"/>
      <c r="I290" s="365"/>
      <c r="J290" s="1064"/>
      <c r="K290" s="365"/>
      <c r="L290" s="1064"/>
      <c r="M290" s="365"/>
      <c r="N290" s="1064"/>
      <c r="O290" s="365"/>
      <c r="P290" s="1067"/>
      <c r="Q290" s="365"/>
      <c r="R290" s="1067"/>
      <c r="S290" s="365"/>
      <c r="T290" s="1067"/>
      <c r="U290" s="365"/>
      <c r="V290" s="1068"/>
      <c r="W290" s="1069"/>
      <c r="X290" s="1042"/>
      <c r="Y290" s="1042"/>
      <c r="Z290" s="967"/>
      <c r="AB290" s="349"/>
    </row>
    <row r="291" spans="1:28" s="348" customFormat="1" x14ac:dyDescent="0.25">
      <c r="A291" s="965"/>
      <c r="B291" s="965"/>
      <c r="C291" s="965"/>
      <c r="D291" s="965"/>
      <c r="E291" s="1064"/>
      <c r="F291" s="1064"/>
      <c r="G291" s="1065"/>
      <c r="H291" s="1066"/>
      <c r="I291" s="365"/>
      <c r="J291" s="1064"/>
      <c r="K291" s="365"/>
      <c r="L291" s="1064"/>
      <c r="M291" s="365"/>
      <c r="N291" s="1064"/>
      <c r="O291" s="365"/>
      <c r="P291" s="1067"/>
      <c r="Q291" s="365"/>
      <c r="R291" s="1067"/>
      <c r="S291" s="365"/>
      <c r="T291" s="1067"/>
      <c r="U291" s="365"/>
      <c r="V291" s="1068"/>
      <c r="W291" s="1069"/>
      <c r="X291" s="1042"/>
      <c r="Y291" s="1042"/>
      <c r="Z291" s="967"/>
      <c r="AB291" s="349"/>
    </row>
    <row r="292" spans="1:28" s="348" customFormat="1" x14ac:dyDescent="0.25">
      <c r="A292" s="973"/>
      <c r="B292" s="973"/>
      <c r="C292" s="973"/>
      <c r="D292" s="973"/>
      <c r="E292" s="1070"/>
      <c r="F292" s="1070"/>
      <c r="G292" s="1071"/>
      <c r="H292" s="1072"/>
      <c r="I292" s="1073"/>
      <c r="J292" s="1070"/>
      <c r="K292" s="1073"/>
      <c r="L292" s="1070"/>
      <c r="M292" s="1073"/>
      <c r="N292" s="1070"/>
      <c r="O292" s="1073"/>
      <c r="P292" s="1074"/>
      <c r="Q292" s="1073"/>
      <c r="R292" s="1074"/>
      <c r="S292" s="1073"/>
      <c r="T292" s="1074"/>
      <c r="U292" s="1073"/>
      <c r="V292" s="1075"/>
      <c r="W292" s="1076"/>
      <c r="X292" s="1077"/>
      <c r="Y292" s="1077"/>
      <c r="Z292" s="950"/>
      <c r="AB292" s="349"/>
    </row>
    <row r="293" spans="1:28" s="133" customFormat="1" x14ac:dyDescent="0.25">
      <c r="A293" s="776" t="s">
        <v>197</v>
      </c>
      <c r="B293" s="776" t="s">
        <v>246</v>
      </c>
      <c r="C293" s="776" t="s">
        <v>250</v>
      </c>
      <c r="D293" s="776" t="s">
        <v>251</v>
      </c>
      <c r="E293" s="767" t="s">
        <v>350</v>
      </c>
      <c r="F293" s="938"/>
      <c r="G293" s="768"/>
      <c r="H293" s="767" t="s">
        <v>372</v>
      </c>
      <c r="I293" s="768"/>
      <c r="J293" s="767" t="s">
        <v>368</v>
      </c>
      <c r="K293" s="768"/>
      <c r="L293" s="787" t="s">
        <v>383</v>
      </c>
      <c r="M293" s="939"/>
      <c r="N293" s="939"/>
      <c r="O293" s="939"/>
      <c r="P293" s="939"/>
      <c r="Q293" s="939"/>
      <c r="R293" s="939"/>
      <c r="S293" s="788"/>
      <c r="T293" s="767" t="s">
        <v>370</v>
      </c>
      <c r="U293" s="768"/>
      <c r="V293" s="767" t="s">
        <v>374</v>
      </c>
      <c r="W293" s="768"/>
      <c r="X293" s="767" t="s">
        <v>547</v>
      </c>
      <c r="Y293" s="768"/>
      <c r="Z293" s="777" t="s">
        <v>252</v>
      </c>
      <c r="AB293" s="124"/>
    </row>
    <row r="294" spans="1:28" s="133" customFormat="1" x14ac:dyDescent="0.25">
      <c r="A294" s="776"/>
      <c r="B294" s="776"/>
      <c r="C294" s="776"/>
      <c r="D294" s="776"/>
      <c r="E294" s="767"/>
      <c r="F294" s="780"/>
      <c r="G294" s="768"/>
      <c r="H294" s="767"/>
      <c r="I294" s="768"/>
      <c r="J294" s="767"/>
      <c r="K294" s="768"/>
      <c r="L294" s="785" t="s">
        <v>353</v>
      </c>
      <c r="M294" s="786"/>
      <c r="N294" s="789" t="s">
        <v>354</v>
      </c>
      <c r="O294" s="790"/>
      <c r="P294" s="789" t="s">
        <v>355</v>
      </c>
      <c r="Q294" s="790"/>
      <c r="R294" s="789" t="s">
        <v>356</v>
      </c>
      <c r="S294" s="790"/>
      <c r="T294" s="767"/>
      <c r="U294" s="768"/>
      <c r="V294" s="767"/>
      <c r="W294" s="768"/>
      <c r="X294" s="767"/>
      <c r="Y294" s="768"/>
      <c r="Z294" s="783"/>
      <c r="AB294" s="124"/>
    </row>
    <row r="295" spans="1:28" s="133" customFormat="1" ht="33.75" customHeight="1" x14ac:dyDescent="0.25">
      <c r="A295" s="776"/>
      <c r="B295" s="776"/>
      <c r="C295" s="776"/>
      <c r="D295" s="776"/>
      <c r="E295" s="769"/>
      <c r="F295" s="781"/>
      <c r="G295" s="770"/>
      <c r="H295" s="769"/>
      <c r="I295" s="770"/>
      <c r="J295" s="769"/>
      <c r="K295" s="770"/>
      <c r="L295" s="787"/>
      <c r="M295" s="788"/>
      <c r="N295" s="791"/>
      <c r="O295" s="792"/>
      <c r="P295" s="791"/>
      <c r="Q295" s="792"/>
      <c r="R295" s="791"/>
      <c r="S295" s="792"/>
      <c r="T295" s="769"/>
      <c r="U295" s="770"/>
      <c r="V295" s="769"/>
      <c r="W295" s="770"/>
      <c r="X295" s="769"/>
      <c r="Y295" s="770"/>
      <c r="Z295" s="783"/>
      <c r="AA295" s="134"/>
      <c r="AB295" s="124"/>
    </row>
    <row r="296" spans="1:28" s="173" customFormat="1" ht="21.75" customHeight="1" thickBot="1" x14ac:dyDescent="0.3">
      <c r="A296" s="777"/>
      <c r="B296" s="778"/>
      <c r="C296" s="778"/>
      <c r="D296" s="778"/>
      <c r="E296" s="161" t="s">
        <v>234</v>
      </c>
      <c r="F296" s="161" t="s">
        <v>235</v>
      </c>
      <c r="G296" s="161" t="s">
        <v>351</v>
      </c>
      <c r="H296" s="161" t="s">
        <v>234</v>
      </c>
      <c r="I296" s="161" t="s">
        <v>352</v>
      </c>
      <c r="J296" s="161" t="s">
        <v>234</v>
      </c>
      <c r="K296" s="161" t="s">
        <v>352</v>
      </c>
      <c r="L296" s="161" t="s">
        <v>234</v>
      </c>
      <c r="M296" s="619" t="s">
        <v>242</v>
      </c>
      <c r="N296" s="161" t="s">
        <v>234</v>
      </c>
      <c r="O296" s="619" t="s">
        <v>242</v>
      </c>
      <c r="P296" s="161" t="s">
        <v>234</v>
      </c>
      <c r="Q296" s="619" t="s">
        <v>242</v>
      </c>
      <c r="R296" s="161" t="s">
        <v>234</v>
      </c>
      <c r="S296" s="619" t="s">
        <v>242</v>
      </c>
      <c r="T296" s="619" t="s">
        <v>74</v>
      </c>
      <c r="U296" s="619" t="s">
        <v>242</v>
      </c>
      <c r="V296" s="619" t="s">
        <v>74</v>
      </c>
      <c r="W296" s="619" t="s">
        <v>242</v>
      </c>
      <c r="X296" s="619" t="s">
        <v>74</v>
      </c>
      <c r="Y296" s="241" t="s">
        <v>242</v>
      </c>
      <c r="Z296" s="784"/>
      <c r="AB296" s="174"/>
    </row>
    <row r="297" spans="1:28" s="133" customFormat="1" x14ac:dyDescent="0.3">
      <c r="A297" s="162">
        <v>1</v>
      </c>
      <c r="B297" s="162">
        <v>2</v>
      </c>
      <c r="C297" s="163">
        <v>3</v>
      </c>
      <c r="D297" s="163">
        <v>4</v>
      </c>
      <c r="E297" s="809">
        <v>5</v>
      </c>
      <c r="F297" s="810"/>
      <c r="G297" s="811"/>
      <c r="H297" s="809">
        <v>6</v>
      </c>
      <c r="I297" s="811"/>
      <c r="J297" s="809">
        <v>7</v>
      </c>
      <c r="K297" s="811"/>
      <c r="L297" s="803">
        <v>8</v>
      </c>
      <c r="M297" s="804"/>
      <c r="N297" s="803">
        <v>9</v>
      </c>
      <c r="O297" s="804"/>
      <c r="P297" s="803">
        <v>10</v>
      </c>
      <c r="Q297" s="804"/>
      <c r="R297" s="803">
        <v>11</v>
      </c>
      <c r="S297" s="804"/>
      <c r="T297" s="803">
        <v>12</v>
      </c>
      <c r="U297" s="804"/>
      <c r="V297" s="805" t="s">
        <v>243</v>
      </c>
      <c r="W297" s="806"/>
      <c r="X297" s="805" t="s">
        <v>244</v>
      </c>
      <c r="Y297" s="806"/>
      <c r="Z297" s="618">
        <v>15</v>
      </c>
      <c r="AB297" s="124"/>
    </row>
    <row r="298" spans="1:28" s="348" customFormat="1" x14ac:dyDescent="0.25">
      <c r="A298" s="402"/>
      <c r="B298" s="402"/>
      <c r="C298" s="794" t="s">
        <v>359</v>
      </c>
      <c r="D298" s="818" t="s">
        <v>448</v>
      </c>
      <c r="E298" s="237">
        <v>2218</v>
      </c>
      <c r="F298" s="237"/>
      <c r="G298" s="346">
        <v>2000000</v>
      </c>
      <c r="H298" s="448">
        <v>0</v>
      </c>
      <c r="I298" s="622">
        <v>246272500</v>
      </c>
      <c r="J298" s="237"/>
      <c r="K298" s="622">
        <f>777200+4543800+97080000+303640000+5040000+469820000+13050000</f>
        <v>893951000</v>
      </c>
      <c r="L298" s="237"/>
      <c r="M298" s="346">
        <v>0</v>
      </c>
      <c r="N298" s="237"/>
      <c r="O298" s="346">
        <v>0</v>
      </c>
      <c r="P298" s="198"/>
      <c r="Q298" s="346">
        <f>225135000-O298-M298</f>
        <v>225135000</v>
      </c>
      <c r="R298" s="198"/>
      <c r="S298" s="346">
        <f>548846600-Q298-O298-M298</f>
        <v>323711600</v>
      </c>
      <c r="T298" s="642">
        <f>R298+P298+N298+L298</f>
        <v>0</v>
      </c>
      <c r="U298" s="393">
        <f>M298+O298+Q298+S298</f>
        <v>548846600</v>
      </c>
      <c r="V298" s="456">
        <f t="shared" si="75"/>
        <v>0</v>
      </c>
      <c r="W298" s="231">
        <f t="shared" si="75"/>
        <v>795119100</v>
      </c>
      <c r="X298" s="340">
        <f>V298/E298*100</f>
        <v>0</v>
      </c>
      <c r="Y298" s="340">
        <f>W298/G298*100</f>
        <v>39755.955000000002</v>
      </c>
      <c r="Z298" s="796" t="s">
        <v>339</v>
      </c>
      <c r="AB298" s="349"/>
    </row>
    <row r="299" spans="1:28" s="348" customFormat="1" ht="40.5" customHeight="1" x14ac:dyDescent="0.25">
      <c r="A299" s="402"/>
      <c r="B299" s="402"/>
      <c r="C299" s="795"/>
      <c r="D299" s="819"/>
      <c r="E299" s="307"/>
      <c r="F299" s="307" t="s">
        <v>239</v>
      </c>
      <c r="G299" s="350"/>
      <c r="H299" s="457"/>
      <c r="I299" s="623"/>
      <c r="J299" s="307"/>
      <c r="K299" s="623"/>
      <c r="L299" s="307"/>
      <c r="M299" s="350"/>
      <c r="N299" s="307"/>
      <c r="O299" s="350"/>
      <c r="P299" s="199"/>
      <c r="Q299" s="350"/>
      <c r="R299" s="199"/>
      <c r="S299" s="350"/>
      <c r="T299" s="199"/>
      <c r="U299" s="394"/>
      <c r="V299" s="455"/>
      <c r="W299" s="232"/>
      <c r="X299" s="338"/>
      <c r="Y299" s="338"/>
      <c r="Z299" s="824"/>
      <c r="AB299" s="349"/>
    </row>
    <row r="300" spans="1:28" s="348" customFormat="1" ht="31.5" hidden="1" customHeight="1" x14ac:dyDescent="0.25">
      <c r="A300" s="402"/>
      <c r="B300" s="402"/>
      <c r="C300" s="818" t="s">
        <v>360</v>
      </c>
      <c r="D300" s="818" t="s">
        <v>520</v>
      </c>
      <c r="E300" s="312">
        <v>25</v>
      </c>
      <c r="F300" s="312"/>
      <c r="G300" s="353">
        <v>2000000</v>
      </c>
      <c r="H300" s="458">
        <v>0</v>
      </c>
      <c r="I300" s="317">
        <v>0</v>
      </c>
      <c r="J300" s="312"/>
      <c r="K300" s="317">
        <v>0</v>
      </c>
      <c r="L300" s="312"/>
      <c r="M300" s="353">
        <v>0</v>
      </c>
      <c r="N300" s="312"/>
      <c r="O300" s="353">
        <v>0</v>
      </c>
      <c r="P300" s="216"/>
      <c r="Q300" s="353">
        <v>0</v>
      </c>
      <c r="R300" s="216"/>
      <c r="S300" s="353">
        <v>0</v>
      </c>
      <c r="T300" s="642">
        <f>R300+P300+N300+L300</f>
        <v>0</v>
      </c>
      <c r="U300" s="393">
        <f t="shared" si="78"/>
        <v>0</v>
      </c>
      <c r="V300" s="456">
        <f t="shared" si="75"/>
        <v>0</v>
      </c>
      <c r="W300" s="231">
        <f t="shared" si="75"/>
        <v>0</v>
      </c>
      <c r="X300" s="340">
        <f t="shared" si="76"/>
        <v>0</v>
      </c>
      <c r="Y300" s="340">
        <f t="shared" si="77"/>
        <v>0</v>
      </c>
      <c r="Z300" s="796" t="s">
        <v>339</v>
      </c>
      <c r="AB300" s="349"/>
    </row>
    <row r="301" spans="1:28" s="348" customFormat="1" ht="31.5" hidden="1" customHeight="1" x14ac:dyDescent="0.25">
      <c r="A301" s="402"/>
      <c r="B301" s="402"/>
      <c r="C301" s="819"/>
      <c r="D301" s="819"/>
      <c r="E301" s="307"/>
      <c r="F301" s="307" t="s">
        <v>272</v>
      </c>
      <c r="G301" s="350"/>
      <c r="H301" s="457"/>
      <c r="I301" s="623"/>
      <c r="J301" s="307"/>
      <c r="K301" s="623"/>
      <c r="L301" s="307"/>
      <c r="M301" s="350"/>
      <c r="N301" s="307"/>
      <c r="O301" s="350"/>
      <c r="P301" s="199"/>
      <c r="Q301" s="350"/>
      <c r="R301" s="199"/>
      <c r="S301" s="350"/>
      <c r="T301" s="199"/>
      <c r="U301" s="394"/>
      <c r="V301" s="455"/>
      <c r="W301" s="232">
        <f t="shared" si="75"/>
        <v>0</v>
      </c>
      <c r="X301" s="338"/>
      <c r="Y301" s="338"/>
      <c r="Z301" s="824"/>
      <c r="AB301" s="349"/>
    </row>
    <row r="302" spans="1:28" s="348" customFormat="1" ht="38.25" customHeight="1" x14ac:dyDescent="0.25">
      <c r="A302" s="402"/>
      <c r="B302" s="402"/>
      <c r="C302" s="818" t="s">
        <v>361</v>
      </c>
      <c r="D302" s="820" t="s">
        <v>442</v>
      </c>
      <c r="E302" s="312">
        <v>72</v>
      </c>
      <c r="F302" s="312"/>
      <c r="G302" s="353">
        <v>460000000</v>
      </c>
      <c r="H302" s="458">
        <v>0</v>
      </c>
      <c r="I302" s="317">
        <v>54491900</v>
      </c>
      <c r="J302" s="312">
        <v>12</v>
      </c>
      <c r="K302" s="317">
        <f>710000+7800000+18000000</f>
        <v>26510000</v>
      </c>
      <c r="L302" s="312">
        <v>2</v>
      </c>
      <c r="M302" s="353">
        <v>4500000</v>
      </c>
      <c r="N302" s="312">
        <v>1</v>
      </c>
      <c r="O302" s="353">
        <f>7500000-M302</f>
        <v>3000000</v>
      </c>
      <c r="P302" s="216">
        <v>3</v>
      </c>
      <c r="Q302" s="353">
        <f>13500000-O302-M302</f>
        <v>6000000</v>
      </c>
      <c r="R302" s="312">
        <v>6</v>
      </c>
      <c r="S302" s="353">
        <f>26510000-Q302-O302-M302</f>
        <v>13010000</v>
      </c>
      <c r="T302" s="642">
        <f>R302+P302+N302+L302</f>
        <v>12</v>
      </c>
      <c r="U302" s="353">
        <f t="shared" si="71"/>
        <v>26510000</v>
      </c>
      <c r="V302" s="456">
        <f t="shared" si="75"/>
        <v>12</v>
      </c>
      <c r="W302" s="231">
        <f t="shared" si="75"/>
        <v>81001900</v>
      </c>
      <c r="X302" s="340">
        <f>V302/E302*100</f>
        <v>16.666666666666664</v>
      </c>
      <c r="Y302" s="340">
        <f>W302/G302*100</f>
        <v>17.609108695652171</v>
      </c>
      <c r="Z302" s="796" t="s">
        <v>339</v>
      </c>
      <c r="AB302" s="349"/>
    </row>
    <row r="303" spans="1:28" s="348" customFormat="1" ht="53.25" customHeight="1" x14ac:dyDescent="0.25">
      <c r="A303" s="402"/>
      <c r="B303" s="402"/>
      <c r="C303" s="819"/>
      <c r="D303" s="819"/>
      <c r="E303" s="312"/>
      <c r="F303" s="312" t="s">
        <v>259</v>
      </c>
      <c r="G303" s="353"/>
      <c r="H303" s="458"/>
      <c r="I303" s="317"/>
      <c r="J303" s="312" t="s">
        <v>259</v>
      </c>
      <c r="K303" s="317"/>
      <c r="L303" s="312" t="s">
        <v>259</v>
      </c>
      <c r="M303" s="353"/>
      <c r="N303" s="312" t="s">
        <v>259</v>
      </c>
      <c r="O303" s="353"/>
      <c r="P303" s="312" t="s">
        <v>259</v>
      </c>
      <c r="Q303" s="353"/>
      <c r="R303" s="216" t="s">
        <v>259</v>
      </c>
      <c r="S303" s="312"/>
      <c r="T303" s="307" t="s">
        <v>259</v>
      </c>
      <c r="U303" s="353"/>
      <c r="V303" s="455"/>
      <c r="W303" s="232">
        <f t="shared" si="75"/>
        <v>0</v>
      </c>
      <c r="X303" s="338"/>
      <c r="Y303" s="338"/>
      <c r="Z303" s="797"/>
      <c r="AB303" s="349"/>
    </row>
    <row r="304" spans="1:28" s="131" customFormat="1" ht="96.6" x14ac:dyDescent="0.25">
      <c r="A304" s="270">
        <v>4</v>
      </c>
      <c r="B304" s="270"/>
      <c r="C304" s="603" t="str">
        <f>'[1]2.14 P2KB'!B64</f>
        <v>Pemberdayaan dan Peningkatan Peran Serta Organisasi Kemasyarakatan Tingkat Daerah Kabupaten/ Kota dalam Pelaksanaan Pelayanan dan Pembinaan Kesertaan Ber-KB</v>
      </c>
      <c r="D304" s="603" t="s">
        <v>340</v>
      </c>
      <c r="E304" s="604">
        <v>1</v>
      </c>
      <c r="F304" s="604" t="s">
        <v>263</v>
      </c>
      <c r="G304" s="609">
        <f>SUM(G305:G309)</f>
        <v>552000000</v>
      </c>
      <c r="H304" s="604">
        <v>1</v>
      </c>
      <c r="I304" s="610">
        <f>SUM(I305:I310)</f>
        <v>325938500</v>
      </c>
      <c r="J304" s="604">
        <v>1</v>
      </c>
      <c r="K304" s="610">
        <f>SUM(K305:K310)</f>
        <v>278309800</v>
      </c>
      <c r="L304" s="604"/>
      <c r="M304" s="610">
        <f>SUM(M305:M310)</f>
        <v>0</v>
      </c>
      <c r="N304" s="604"/>
      <c r="O304" s="610">
        <f>SUM(O305:O310)</f>
        <v>0</v>
      </c>
      <c r="P304" s="607">
        <v>0.25</v>
      </c>
      <c r="Q304" s="610">
        <f>SUM(Q305:Q310)</f>
        <v>67500000</v>
      </c>
      <c r="R304" s="607">
        <v>0.75</v>
      </c>
      <c r="S304" s="606">
        <f>SUM(S305:S310)</f>
        <v>183539800</v>
      </c>
      <c r="T304" s="696">
        <f>R304+P304+N304+L304</f>
        <v>1</v>
      </c>
      <c r="U304" s="610">
        <f>M304+O304+Q304+S304</f>
        <v>251039800</v>
      </c>
      <c r="V304" s="607">
        <f>H304+T304</f>
        <v>2</v>
      </c>
      <c r="W304" s="610">
        <f>I304+U304</f>
        <v>576978300</v>
      </c>
      <c r="X304" s="611">
        <f>V304/E304*100</f>
        <v>200</v>
      </c>
      <c r="Y304" s="611">
        <f>W304/G304*100</f>
        <v>104.52505434782609</v>
      </c>
      <c r="Z304" s="608" t="s">
        <v>339</v>
      </c>
      <c r="AB304" s="125"/>
    </row>
    <row r="305" spans="1:28" s="348" customFormat="1" x14ac:dyDescent="0.25">
      <c r="A305" s="626"/>
      <c r="B305" s="626"/>
      <c r="C305" s="794" t="str">
        <f>'[1]2.14 P2KB'!B65</f>
        <v>Penguatan Peran Serta Organisasi Kemasyarakatan dan Mitra Kerja Lainnya dalam Pelaksanaan Pelayanan dan Pembinaan Kesertaan Ber-KB</v>
      </c>
      <c r="D305" s="794" t="str">
        <f>'[1]2.14 P2KB'!D65</f>
        <v>Jumlah Organisasi yang Mendapatkan Penguatan Peran Serta Organisasi Kemasyarakatan dan Mitra Kerja Lainnya dalam Pelaksanaan Pelayanan dan Pembinaan Kesertaan Ber-KB</v>
      </c>
      <c r="E305" s="237">
        <v>300</v>
      </c>
      <c r="F305" s="237"/>
      <c r="G305" s="459">
        <v>300000000</v>
      </c>
      <c r="H305" s="237">
        <v>50</v>
      </c>
      <c r="I305" s="459">
        <v>25988500</v>
      </c>
      <c r="J305" s="237">
        <v>50</v>
      </c>
      <c r="K305" s="459">
        <v>21559800</v>
      </c>
      <c r="L305" s="237"/>
      <c r="M305" s="459">
        <v>0</v>
      </c>
      <c r="N305" s="237"/>
      <c r="O305" s="459">
        <v>0</v>
      </c>
      <c r="P305" s="198"/>
      <c r="Q305" s="459">
        <f>0-O305-M305</f>
        <v>0</v>
      </c>
      <c r="R305" s="662">
        <v>50</v>
      </c>
      <c r="S305" s="346">
        <f>19609800-Q305-O305-M305</f>
        <v>19609800</v>
      </c>
      <c r="T305" s="662">
        <f>R305+P305+N305+L305</f>
        <v>50</v>
      </c>
      <c r="U305" s="459">
        <f t="shared" si="71"/>
        <v>19609800</v>
      </c>
      <c r="V305" s="662">
        <f>H305+T305</f>
        <v>100</v>
      </c>
      <c r="W305" s="460">
        <f>I305+U305</f>
        <v>45598300</v>
      </c>
      <c r="X305" s="337">
        <f>V305/E305*100</f>
        <v>33.333333333333329</v>
      </c>
      <c r="Y305" s="337">
        <f>W305/G305*100</f>
        <v>15.199433333333335</v>
      </c>
      <c r="Z305" s="796" t="s">
        <v>339</v>
      </c>
      <c r="AA305" s="422"/>
      <c r="AB305" s="349"/>
    </row>
    <row r="306" spans="1:28" s="364" customFormat="1" ht="79.5" customHeight="1" x14ac:dyDescent="0.25">
      <c r="A306" s="626"/>
      <c r="B306" s="626"/>
      <c r="C306" s="795"/>
      <c r="D306" s="795"/>
      <c r="E306" s="307"/>
      <c r="F306" s="307" t="s">
        <v>314</v>
      </c>
      <c r="G306" s="461"/>
      <c r="H306" s="307" t="s">
        <v>314</v>
      </c>
      <c r="I306" s="461"/>
      <c r="J306" s="307" t="s">
        <v>314</v>
      </c>
      <c r="K306" s="461"/>
      <c r="L306" s="307" t="s">
        <v>314</v>
      </c>
      <c r="M306" s="461"/>
      <c r="N306" s="307" t="s">
        <v>314</v>
      </c>
      <c r="O306" s="461"/>
      <c r="P306" s="307" t="s">
        <v>314</v>
      </c>
      <c r="Q306" s="461"/>
      <c r="R306" s="307" t="s">
        <v>314</v>
      </c>
      <c r="S306" s="350"/>
      <c r="T306" s="307" t="s">
        <v>314</v>
      </c>
      <c r="U306" s="461"/>
      <c r="V306" s="199"/>
      <c r="W306" s="461"/>
      <c r="X306" s="338"/>
      <c r="Y306" s="338"/>
      <c r="Z306" s="797"/>
      <c r="AB306" s="365"/>
    </row>
    <row r="307" spans="1:28" s="364" customFormat="1" ht="24.75" hidden="1" customHeight="1" x14ac:dyDescent="0.25">
      <c r="A307" s="626"/>
      <c r="B307" s="626"/>
      <c r="C307" s="818" t="s">
        <v>525</v>
      </c>
      <c r="D307" s="818" t="s">
        <v>526</v>
      </c>
      <c r="E307" s="312">
        <v>126</v>
      </c>
      <c r="F307" s="312"/>
      <c r="G307" s="332">
        <v>250000000</v>
      </c>
      <c r="H307" s="312"/>
      <c r="I307" s="332">
        <v>0</v>
      </c>
      <c r="J307" s="312">
        <v>21</v>
      </c>
      <c r="K307" s="332">
        <v>0</v>
      </c>
      <c r="L307" s="312"/>
      <c r="M307" s="332">
        <f>0</f>
        <v>0</v>
      </c>
      <c r="N307" s="312"/>
      <c r="O307" s="332">
        <f>0-M307</f>
        <v>0</v>
      </c>
      <c r="P307" s="216"/>
      <c r="Q307" s="332">
        <f>0-O307-M307</f>
        <v>0</v>
      </c>
      <c r="R307" s="216"/>
      <c r="S307" s="353">
        <f>0-Q307-O307-M307</f>
        <v>0</v>
      </c>
      <c r="T307" s="662">
        <f>R307+P307+N307+L307</f>
        <v>0</v>
      </c>
      <c r="U307" s="459">
        <f t="shared" si="71"/>
        <v>0</v>
      </c>
      <c r="V307" s="304">
        <f>H307+T307</f>
        <v>0</v>
      </c>
      <c r="W307" s="460">
        <f>I307+U307</f>
        <v>0</v>
      </c>
      <c r="X307" s="340">
        <f t="shared" ref="X307" si="79">V307/E307*100%</f>
        <v>0</v>
      </c>
      <c r="Y307" s="340">
        <f t="shared" ref="Y307" si="80">W307/G307*100%</f>
        <v>0</v>
      </c>
      <c r="Z307" s="796" t="s">
        <v>339</v>
      </c>
      <c r="AB307" s="365"/>
    </row>
    <row r="308" spans="1:28" s="364" customFormat="1" ht="24.75" hidden="1" customHeight="1" x14ac:dyDescent="0.25">
      <c r="A308" s="626"/>
      <c r="B308" s="626"/>
      <c r="C308" s="819"/>
      <c r="D308" s="819"/>
      <c r="E308" s="312"/>
      <c r="F308" s="312" t="s">
        <v>156</v>
      </c>
      <c r="G308" s="332"/>
      <c r="H308" s="312"/>
      <c r="I308" s="332"/>
      <c r="J308" s="312" t="s">
        <v>156</v>
      </c>
      <c r="K308" s="332"/>
      <c r="L308" s="312"/>
      <c r="M308" s="332"/>
      <c r="N308" s="312"/>
      <c r="O308" s="332"/>
      <c r="P308" s="216"/>
      <c r="Q308" s="332"/>
      <c r="R308" s="216"/>
      <c r="S308" s="353"/>
      <c r="T308" s="216"/>
      <c r="U308" s="332"/>
      <c r="V308" s="216"/>
      <c r="W308" s="461"/>
      <c r="X308" s="338"/>
      <c r="Y308" s="338"/>
      <c r="Z308" s="797"/>
      <c r="AB308" s="365"/>
    </row>
    <row r="309" spans="1:28" s="348" customFormat="1" x14ac:dyDescent="0.25">
      <c r="A309" s="626"/>
      <c r="B309" s="626"/>
      <c r="C309" s="794" t="s">
        <v>449</v>
      </c>
      <c r="D309" s="794" t="s">
        <v>450</v>
      </c>
      <c r="E309" s="237">
        <v>21</v>
      </c>
      <c r="F309" s="642"/>
      <c r="G309" s="462">
        <v>2000000</v>
      </c>
      <c r="H309" s="237">
        <v>21</v>
      </c>
      <c r="I309" s="346">
        <v>299950000</v>
      </c>
      <c r="J309" s="237"/>
      <c r="K309" s="346">
        <f>70000+2530000+254150000</f>
        <v>256750000</v>
      </c>
      <c r="L309" s="237"/>
      <c r="M309" s="346">
        <v>0</v>
      </c>
      <c r="N309" s="237"/>
      <c r="O309" s="346">
        <v>0</v>
      </c>
      <c r="P309" s="198"/>
      <c r="Q309" s="346">
        <f>67500000-O309-M309</f>
        <v>67500000</v>
      </c>
      <c r="R309" s="662"/>
      <c r="S309" s="346">
        <f>231430000-Q309-O309-M309</f>
        <v>163930000</v>
      </c>
      <c r="T309" s="662">
        <f>R309+P309+N309+L309</f>
        <v>0</v>
      </c>
      <c r="U309" s="346">
        <f t="shared" si="71"/>
        <v>231430000</v>
      </c>
      <c r="V309" s="662">
        <f>H309+T309</f>
        <v>21</v>
      </c>
      <c r="W309" s="460">
        <f>I309+U309</f>
        <v>531380000</v>
      </c>
      <c r="X309" s="340">
        <f>V309/E309*100</f>
        <v>100</v>
      </c>
      <c r="Y309" s="340">
        <f>W309/G309*100</f>
        <v>26569</v>
      </c>
      <c r="Z309" s="796" t="s">
        <v>339</v>
      </c>
      <c r="AB309" s="349"/>
    </row>
    <row r="310" spans="1:28" s="348" customFormat="1" ht="81.75" customHeight="1" thickBot="1" x14ac:dyDescent="0.3">
      <c r="A310" s="626"/>
      <c r="B310" s="626"/>
      <c r="C310" s="834"/>
      <c r="D310" s="834"/>
      <c r="E310" s="312"/>
      <c r="F310" s="638" t="s">
        <v>527</v>
      </c>
      <c r="G310" s="353"/>
      <c r="H310" s="312" t="s">
        <v>156</v>
      </c>
      <c r="I310" s="353"/>
      <c r="J310" s="312" t="s">
        <v>527</v>
      </c>
      <c r="K310" s="353"/>
      <c r="L310" s="312"/>
      <c r="M310" s="353"/>
      <c r="N310" s="312"/>
      <c r="O310" s="353"/>
      <c r="P310" s="216"/>
      <c r="Q310" s="353"/>
      <c r="R310" s="216"/>
      <c r="S310" s="353"/>
      <c r="T310" s="199"/>
      <c r="U310" s="353"/>
      <c r="V310" s="216"/>
      <c r="W310" s="463"/>
      <c r="X310" s="338"/>
      <c r="Y310" s="464"/>
      <c r="Z310" s="824"/>
      <c r="AB310" s="349"/>
    </row>
    <row r="311" spans="1:28" ht="55.8" thickBot="1" x14ac:dyDescent="0.3">
      <c r="A311" s="156"/>
      <c r="B311" s="156"/>
      <c r="C311" s="136" t="s">
        <v>341</v>
      </c>
      <c r="D311" s="136" t="s">
        <v>342</v>
      </c>
      <c r="E311" s="157">
        <v>1</v>
      </c>
      <c r="F311" s="157" t="s">
        <v>237</v>
      </c>
      <c r="G311" s="145">
        <f>G312</f>
        <v>2954000000</v>
      </c>
      <c r="H311" s="157">
        <v>1</v>
      </c>
      <c r="I311" s="145">
        <f>I312</f>
        <v>1927789000</v>
      </c>
      <c r="J311" s="157">
        <v>1</v>
      </c>
      <c r="K311" s="145">
        <f>K312</f>
        <v>1949328400</v>
      </c>
      <c r="L311" s="157">
        <v>0.25</v>
      </c>
      <c r="M311" s="145">
        <f>M312</f>
        <v>9000000</v>
      </c>
      <c r="N311" s="157">
        <v>0.25</v>
      </c>
      <c r="O311" s="145">
        <f>O312</f>
        <v>79060000</v>
      </c>
      <c r="P311" s="170">
        <v>0.25</v>
      </c>
      <c r="Q311" s="145">
        <f>Q312</f>
        <v>863175500</v>
      </c>
      <c r="R311" s="170">
        <v>0.25</v>
      </c>
      <c r="S311" s="145">
        <f>S312</f>
        <v>990809539</v>
      </c>
      <c r="T311" s="697">
        <f>L311+N311+P311+R311</f>
        <v>1</v>
      </c>
      <c r="U311" s="145">
        <f>M311+O311+Q311+S311</f>
        <v>1942045039</v>
      </c>
      <c r="V311" s="170">
        <f>H311+T311</f>
        <v>2</v>
      </c>
      <c r="W311" s="145">
        <f>I311+U311</f>
        <v>3869834039</v>
      </c>
      <c r="X311" s="256">
        <f>V311/E311*100</f>
        <v>200</v>
      </c>
      <c r="Y311" s="256">
        <f>W311/G311*100</f>
        <v>131.00318344617469</v>
      </c>
      <c r="Z311" s="143" t="s">
        <v>339</v>
      </c>
    </row>
    <row r="312" spans="1:28" s="131" customFormat="1" x14ac:dyDescent="0.25">
      <c r="A312" s="261"/>
      <c r="B312" s="261"/>
      <c r="C312" s="914" t="str">
        <f>'[1]2.14 P2KB'!B70</f>
        <v>Pelaksanaan Pembangunan Keluarga Melalui Pembinaan Ketahanan dan Kesejahteraan Keluarga</v>
      </c>
      <c r="D312" s="914" t="s">
        <v>343</v>
      </c>
      <c r="E312" s="524">
        <v>100</v>
      </c>
      <c r="F312" s="612"/>
      <c r="G312" s="916">
        <f>SUM(G314:G330)</f>
        <v>2954000000</v>
      </c>
      <c r="H312" s="524">
        <v>21</v>
      </c>
      <c r="I312" s="916">
        <f>SUM(I314:I330)</f>
        <v>1927789000</v>
      </c>
      <c r="J312" s="524">
        <v>100</v>
      </c>
      <c r="K312" s="916">
        <f>SUM(K314:K330)</f>
        <v>1949328400</v>
      </c>
      <c r="L312" s="524">
        <v>25</v>
      </c>
      <c r="M312" s="916">
        <f>SUM(M314:M330)</f>
        <v>9000000</v>
      </c>
      <c r="N312" s="524">
        <v>25</v>
      </c>
      <c r="O312" s="613">
        <f>SUM(O314:O330)</f>
        <v>79060000</v>
      </c>
      <c r="P312" s="527">
        <v>25</v>
      </c>
      <c r="Q312" s="613">
        <f>SUM(Q314:Q330)</f>
        <v>863175500</v>
      </c>
      <c r="R312" s="481">
        <v>25</v>
      </c>
      <c r="S312" s="613">
        <f>SUM(S314:S330)</f>
        <v>990809539</v>
      </c>
      <c r="T312" s="503">
        <f>R312+P312+N312+L312</f>
        <v>100</v>
      </c>
      <c r="U312" s="613">
        <f t="shared" ref="U312" si="81">M312+O312+Q312+S312</f>
        <v>1942045039</v>
      </c>
      <c r="V312" s="481">
        <f>H312+T312</f>
        <v>121</v>
      </c>
      <c r="W312" s="613">
        <f>I312+U312</f>
        <v>3869834039</v>
      </c>
      <c r="X312" s="529">
        <f>V312/E312*100</f>
        <v>121</v>
      </c>
      <c r="Y312" s="529">
        <f>W312/G312*100</f>
        <v>131.00318344617469</v>
      </c>
      <c r="Z312" s="918" t="s">
        <v>339</v>
      </c>
      <c r="AB312" s="125"/>
    </row>
    <row r="313" spans="1:28" s="131" customFormat="1" ht="41.25" customHeight="1" x14ac:dyDescent="0.25">
      <c r="A313" s="269"/>
      <c r="B313" s="269"/>
      <c r="C313" s="915"/>
      <c r="D313" s="915"/>
      <c r="E313" s="614"/>
      <c r="F313" s="614" t="s">
        <v>238</v>
      </c>
      <c r="G313" s="917"/>
      <c r="H313" s="614" t="s">
        <v>344</v>
      </c>
      <c r="I313" s="917"/>
      <c r="J313" s="614" t="s">
        <v>239</v>
      </c>
      <c r="K313" s="917"/>
      <c r="L313" s="614" t="s">
        <v>239</v>
      </c>
      <c r="M313" s="917"/>
      <c r="N313" s="614" t="s">
        <v>239</v>
      </c>
      <c r="O313" s="615"/>
      <c r="P313" s="614" t="s">
        <v>239</v>
      </c>
      <c r="Q313" s="615"/>
      <c r="R313" s="614" t="s">
        <v>239</v>
      </c>
      <c r="S313" s="615"/>
      <c r="T313" s="696" t="s">
        <v>239</v>
      </c>
      <c r="U313" s="615"/>
      <c r="V313" s="616"/>
      <c r="W313" s="615"/>
      <c r="X313" s="532"/>
      <c r="Y313" s="532"/>
      <c r="Z313" s="822"/>
      <c r="AB313" s="125"/>
    </row>
    <row r="314" spans="1:28" s="348" customFormat="1" x14ac:dyDescent="0.25">
      <c r="A314" s="258"/>
      <c r="B314" s="258"/>
      <c r="C314" s="794" t="s">
        <v>451</v>
      </c>
      <c r="D314" s="794" t="s">
        <v>452</v>
      </c>
      <c r="E314" s="237">
        <v>5</v>
      </c>
      <c r="F314" s="638"/>
      <c r="G314" s="866">
        <v>870000000</v>
      </c>
      <c r="H314" s="237"/>
      <c r="I314" s="866">
        <v>0</v>
      </c>
      <c r="J314" s="237">
        <v>1</v>
      </c>
      <c r="K314" s="866">
        <f>4000000+20560000+5104400+25500000+27340000+18000000+14400000+200000+12000000+42180000+6000000</f>
        <v>175284400</v>
      </c>
      <c r="L314" s="237"/>
      <c r="M314" s="866">
        <v>0</v>
      </c>
      <c r="N314" s="237"/>
      <c r="O314" s="866">
        <f>4000000+20560000+25500000+18000000+5000000-M314</f>
        <v>73060000</v>
      </c>
      <c r="P314" s="198"/>
      <c r="Q314" s="866">
        <f>127096500-O314-M314</f>
        <v>54036500</v>
      </c>
      <c r="R314" s="662">
        <v>1</v>
      </c>
      <c r="S314" s="904">
        <f>170982039-Q314-O314-M314</f>
        <v>43885539</v>
      </c>
      <c r="T314" s="662">
        <f>R314+P314+N314+L314</f>
        <v>1</v>
      </c>
      <c r="U314" s="866">
        <f t="shared" ref="U314:U319" si="82">M314+O314+Q314+S314</f>
        <v>170982039</v>
      </c>
      <c r="V314" s="662">
        <f>H314+T314</f>
        <v>1</v>
      </c>
      <c r="W314" s="866">
        <f>SUM(I314+U314)</f>
        <v>170982039</v>
      </c>
      <c r="X314" s="340">
        <f>V314/E314*100</f>
        <v>20</v>
      </c>
      <c r="Y314" s="337">
        <f>W314/G314*100</f>
        <v>19.653107931034484</v>
      </c>
      <c r="Z314" s="796" t="s">
        <v>339</v>
      </c>
      <c r="AB314" s="349"/>
    </row>
    <row r="315" spans="1:28" s="348" customFormat="1" ht="96.75" customHeight="1" x14ac:dyDescent="0.25">
      <c r="A315" s="258"/>
      <c r="B315" s="258"/>
      <c r="C315" s="834"/>
      <c r="D315" s="834"/>
      <c r="E315" s="312"/>
      <c r="F315" s="638" t="s">
        <v>259</v>
      </c>
      <c r="G315" s="919"/>
      <c r="H315" s="312"/>
      <c r="I315" s="919"/>
      <c r="J315" s="312" t="s">
        <v>259</v>
      </c>
      <c r="K315" s="919"/>
      <c r="L315" s="312" t="s">
        <v>259</v>
      </c>
      <c r="M315" s="919"/>
      <c r="N315" s="312" t="s">
        <v>259</v>
      </c>
      <c r="O315" s="919"/>
      <c r="P315" s="312" t="s">
        <v>259</v>
      </c>
      <c r="Q315" s="919"/>
      <c r="R315" s="312" t="s">
        <v>259</v>
      </c>
      <c r="S315" s="904"/>
      <c r="T315" s="216" t="s">
        <v>259</v>
      </c>
      <c r="U315" s="919">
        <f t="shared" si="82"/>
        <v>0</v>
      </c>
      <c r="V315" s="216" t="s">
        <v>345</v>
      </c>
      <c r="W315" s="919"/>
      <c r="X315" s="284"/>
      <c r="Y315" s="465"/>
      <c r="Z315" s="824"/>
      <c r="AB315" s="349"/>
    </row>
    <row r="316" spans="1:28" s="348" customFormat="1" ht="40.5" customHeight="1" x14ac:dyDescent="0.25">
      <c r="A316" s="258"/>
      <c r="B316" s="258"/>
      <c r="C316" s="818" t="s">
        <v>457</v>
      </c>
      <c r="D316" s="818" t="s">
        <v>458</v>
      </c>
      <c r="E316" s="237">
        <v>672</v>
      </c>
      <c r="F316" s="642"/>
      <c r="G316" s="648">
        <v>2000000</v>
      </c>
      <c r="H316" s="237"/>
      <c r="I316" s="648">
        <v>1411200000</v>
      </c>
      <c r="J316" s="237">
        <v>12</v>
      </c>
      <c r="K316" s="648">
        <v>1411200000</v>
      </c>
      <c r="L316" s="237"/>
      <c r="M316" s="648">
        <v>0</v>
      </c>
      <c r="N316" s="237"/>
      <c r="O316" s="648">
        <v>0</v>
      </c>
      <c r="P316" s="198">
        <v>5</v>
      </c>
      <c r="Q316" s="648">
        <f>530460000-O316-M316</f>
        <v>530460000</v>
      </c>
      <c r="R316" s="198">
        <v>7</v>
      </c>
      <c r="S316" s="667">
        <f>1409940000-Q316-O316-M316</f>
        <v>879480000</v>
      </c>
      <c r="T316" s="662">
        <f>R316+P316+N316+L316</f>
        <v>12</v>
      </c>
      <c r="U316" s="866">
        <f t="shared" si="82"/>
        <v>1409940000</v>
      </c>
      <c r="V316" s="662">
        <f>H316+T316</f>
        <v>12</v>
      </c>
      <c r="W316" s="866">
        <f>SUM(I316+U316)</f>
        <v>2821140000</v>
      </c>
      <c r="X316" s="340">
        <f>V316/E316*100</f>
        <v>1.7857142857142856</v>
      </c>
      <c r="Y316" s="337">
        <f>W316/G316*100</f>
        <v>141057</v>
      </c>
      <c r="Z316" s="796" t="s">
        <v>339</v>
      </c>
      <c r="AB316" s="349"/>
    </row>
    <row r="317" spans="1:28" s="348" customFormat="1" ht="59.25" customHeight="1" x14ac:dyDescent="0.25">
      <c r="A317" s="258"/>
      <c r="B317" s="258"/>
      <c r="C317" s="819"/>
      <c r="D317" s="819"/>
      <c r="E317" s="307"/>
      <c r="F317" s="639" t="s">
        <v>239</v>
      </c>
      <c r="G317" s="649"/>
      <c r="H317" s="307"/>
      <c r="I317" s="649"/>
      <c r="J317" s="307" t="s">
        <v>409</v>
      </c>
      <c r="K317" s="649"/>
      <c r="L317" s="307" t="s">
        <v>409</v>
      </c>
      <c r="M317" s="649"/>
      <c r="N317" s="307" t="s">
        <v>409</v>
      </c>
      <c r="O317" s="649"/>
      <c r="P317" s="307" t="s">
        <v>409</v>
      </c>
      <c r="Q317" s="649"/>
      <c r="R317" s="307" t="s">
        <v>409</v>
      </c>
      <c r="S317" s="284"/>
      <c r="T317" s="307" t="s">
        <v>409</v>
      </c>
      <c r="U317" s="919">
        <f t="shared" si="82"/>
        <v>0</v>
      </c>
      <c r="V317" s="199"/>
      <c r="W317" s="919"/>
      <c r="X317" s="284"/>
      <c r="Y317" s="466"/>
      <c r="Z317" s="824"/>
      <c r="AB317" s="349"/>
    </row>
    <row r="318" spans="1:28" s="348" customFormat="1" ht="20.25" customHeight="1" x14ac:dyDescent="0.25">
      <c r="A318" s="258"/>
      <c r="B318" s="258"/>
      <c r="C318" s="818" t="s">
        <v>459</v>
      </c>
      <c r="D318" s="818" t="s">
        <v>460</v>
      </c>
      <c r="E318" s="312">
        <v>50</v>
      </c>
      <c r="F318" s="638"/>
      <c r="G318" s="671">
        <v>750000000</v>
      </c>
      <c r="H318" s="312"/>
      <c r="I318" s="671">
        <v>352480000</v>
      </c>
      <c r="J318" s="312">
        <v>20</v>
      </c>
      <c r="K318" s="671">
        <v>300000000</v>
      </c>
      <c r="L318" s="312"/>
      <c r="M318" s="671">
        <v>0</v>
      </c>
      <c r="N318" s="312"/>
      <c r="O318" s="671">
        <v>0</v>
      </c>
      <c r="P318" s="216">
        <v>17</v>
      </c>
      <c r="Q318" s="671">
        <f>239975000-O318-M318</f>
        <v>239975000</v>
      </c>
      <c r="R318" s="216">
        <v>8</v>
      </c>
      <c r="S318" s="668">
        <f>298419000-Q318-O318-M318</f>
        <v>58444000</v>
      </c>
      <c r="T318" s="662">
        <f>R318+P318+N318+L318</f>
        <v>25</v>
      </c>
      <c r="U318" s="866">
        <f t="shared" si="82"/>
        <v>298419000</v>
      </c>
      <c r="V318" s="662">
        <f>H318+T318</f>
        <v>25</v>
      </c>
      <c r="W318" s="866">
        <f>SUM(I318+U318)</f>
        <v>650899000</v>
      </c>
      <c r="X318" s="340">
        <f>V318/E318*100</f>
        <v>50</v>
      </c>
      <c r="Y318" s="337">
        <f>W318/G318*100</f>
        <v>86.786533333333338</v>
      </c>
      <c r="Z318" s="796" t="s">
        <v>339</v>
      </c>
      <c r="AB318" s="349"/>
    </row>
    <row r="319" spans="1:28" s="348" customFormat="1" ht="78" customHeight="1" x14ac:dyDescent="0.25">
      <c r="A319" s="258"/>
      <c r="B319" s="258"/>
      <c r="C319" s="819"/>
      <c r="D319" s="819"/>
      <c r="E319" s="307"/>
      <c r="F319" s="639" t="s">
        <v>272</v>
      </c>
      <c r="G319" s="649"/>
      <c r="H319" s="307"/>
      <c r="I319" s="649"/>
      <c r="J319" s="307" t="s">
        <v>272</v>
      </c>
      <c r="K319" s="649"/>
      <c r="L319" s="307" t="s">
        <v>272</v>
      </c>
      <c r="M319" s="649"/>
      <c r="N319" s="307" t="s">
        <v>272</v>
      </c>
      <c r="O319" s="649"/>
      <c r="P319" s="307" t="s">
        <v>272</v>
      </c>
      <c r="Q319" s="649"/>
      <c r="R319" s="307" t="s">
        <v>272</v>
      </c>
      <c r="S319" s="284"/>
      <c r="T319" s="307" t="s">
        <v>272</v>
      </c>
      <c r="U319" s="919">
        <f t="shared" si="82"/>
        <v>0</v>
      </c>
      <c r="V319" s="199"/>
      <c r="W319" s="919"/>
      <c r="X319" s="284"/>
      <c r="Y319" s="466"/>
      <c r="Z319" s="824"/>
      <c r="AB319" s="349"/>
    </row>
    <row r="320" spans="1:28" s="348" customFormat="1" x14ac:dyDescent="0.25">
      <c r="A320" s="626"/>
      <c r="B320" s="626"/>
      <c r="C320" s="794" t="str">
        <f>'[1]2.14 P2KB'!B76</f>
        <v>Penyediaan Biaya Operasional bagi Kelompok Kegiatan Ketahanan dan Kesejahteraan Keluarga (BKB, BKR, BKL, PPPKS, PIK-R dan Pemberdayaan Ekonomi Keluarga/UPPKS)</v>
      </c>
      <c r="D320" s="794" t="str">
        <f>'[1]2.14 P2KB'!D76</f>
        <v>Jumlah Kelompok Kegiatan Ketahanan dan Kesejahteraan Keluarga (BKB, BKR, BKL, PPPKS, PIK-R dan Pemberdayaan Ekonomi Keluarga/UPPKS)</v>
      </c>
      <c r="E320" s="237">
        <v>1</v>
      </c>
      <c r="F320" s="622"/>
      <c r="G320" s="866">
        <v>1000000000</v>
      </c>
      <c r="H320" s="237">
        <v>1</v>
      </c>
      <c r="I320" s="866">
        <v>31500000</v>
      </c>
      <c r="J320" s="237">
        <v>1</v>
      </c>
      <c r="K320" s="866">
        <f>2604000+1500000+6140000+36000000+6400000+10200000</f>
        <v>62844000</v>
      </c>
      <c r="L320" s="237"/>
      <c r="M320" s="866">
        <v>9000000</v>
      </c>
      <c r="N320" s="237"/>
      <c r="O320" s="866">
        <f>15000000-M320</f>
        <v>6000000</v>
      </c>
      <c r="P320" s="198"/>
      <c r="Q320" s="866">
        <f>53704000-O320-M320</f>
        <v>38704000</v>
      </c>
      <c r="R320" s="662">
        <v>1</v>
      </c>
      <c r="S320" s="866">
        <f>62704000-Q320-O320-M320</f>
        <v>9000000</v>
      </c>
      <c r="T320" s="662">
        <f>R320+P320+N320+L320</f>
        <v>1</v>
      </c>
      <c r="U320" s="920">
        <f>M320+O320+Q320+S320</f>
        <v>62704000</v>
      </c>
      <c r="V320" s="662">
        <f>H320+T320</f>
        <v>2</v>
      </c>
      <c r="W320" s="866">
        <v>352480000</v>
      </c>
      <c r="X320" s="340">
        <f>V320/E320*100</f>
        <v>200</v>
      </c>
      <c r="Y320" s="337">
        <f>W320/G320*100</f>
        <v>35.248000000000005</v>
      </c>
      <c r="Z320" s="796" t="s">
        <v>339</v>
      </c>
      <c r="AB320" s="349"/>
    </row>
    <row r="321" spans="1:37" s="348" customFormat="1" x14ac:dyDescent="0.25">
      <c r="A321" s="626"/>
      <c r="B321" s="626"/>
      <c r="C321" s="834"/>
      <c r="D321" s="834"/>
      <c r="E321" s="312"/>
      <c r="F321" s="312" t="s">
        <v>345</v>
      </c>
      <c r="G321" s="919"/>
      <c r="H321" s="312" t="s">
        <v>345</v>
      </c>
      <c r="I321" s="919"/>
      <c r="J321" s="312" t="s">
        <v>345</v>
      </c>
      <c r="K321" s="919"/>
      <c r="L321" s="312" t="s">
        <v>345</v>
      </c>
      <c r="M321" s="919"/>
      <c r="N321" s="312" t="s">
        <v>345</v>
      </c>
      <c r="O321" s="919"/>
      <c r="P321" s="312" t="s">
        <v>345</v>
      </c>
      <c r="Q321" s="919"/>
      <c r="R321" s="312" t="s">
        <v>345</v>
      </c>
      <c r="S321" s="919"/>
      <c r="T321" s="312" t="s">
        <v>345</v>
      </c>
      <c r="U321" s="921"/>
      <c r="V321" s="216"/>
      <c r="W321" s="919">
        <f t="shared" ref="W321:W326" si="83">M321+O321</f>
        <v>0</v>
      </c>
      <c r="X321" s="671"/>
      <c r="Y321" s="467"/>
      <c r="Z321" s="824"/>
      <c r="AB321" s="349"/>
    </row>
    <row r="322" spans="1:37" s="348" customFormat="1" ht="12.75" customHeight="1" x14ac:dyDescent="0.25">
      <c r="A322" s="626"/>
      <c r="B322" s="626"/>
      <c r="C322" s="834"/>
      <c r="D322" s="834"/>
      <c r="E322" s="312"/>
      <c r="F322" s="317"/>
      <c r="G322" s="919"/>
      <c r="H322" s="312"/>
      <c r="I322" s="919"/>
      <c r="J322" s="312"/>
      <c r="K322" s="919"/>
      <c r="L322" s="312"/>
      <c r="M322" s="919"/>
      <c r="N322" s="312"/>
      <c r="O322" s="919"/>
      <c r="P322" s="216"/>
      <c r="Q322" s="919"/>
      <c r="R322" s="216"/>
      <c r="S322" s="919"/>
      <c r="T322" s="216"/>
      <c r="U322" s="921"/>
      <c r="V322" s="216"/>
      <c r="W322" s="919">
        <f t="shared" si="83"/>
        <v>0</v>
      </c>
      <c r="X322" s="671"/>
      <c r="Y322" s="467"/>
      <c r="Z322" s="824"/>
      <c r="AB322" s="349"/>
    </row>
    <row r="323" spans="1:37" s="348" customFormat="1" ht="15" customHeight="1" x14ac:dyDescent="0.25">
      <c r="A323" s="626"/>
      <c r="B323" s="626"/>
      <c r="C323" s="834"/>
      <c r="D323" s="834"/>
      <c r="E323" s="312"/>
      <c r="F323" s="317"/>
      <c r="G323" s="919"/>
      <c r="H323" s="312"/>
      <c r="I323" s="919"/>
      <c r="J323" s="312"/>
      <c r="K323" s="919"/>
      <c r="L323" s="312"/>
      <c r="M323" s="919"/>
      <c r="N323" s="312"/>
      <c r="O323" s="919"/>
      <c r="P323" s="216"/>
      <c r="Q323" s="919"/>
      <c r="R323" s="216"/>
      <c r="S323" s="919"/>
      <c r="T323" s="216"/>
      <c r="U323" s="921"/>
      <c r="V323" s="216"/>
      <c r="W323" s="919">
        <f t="shared" si="83"/>
        <v>0</v>
      </c>
      <c r="X323" s="671"/>
      <c r="Y323" s="467"/>
      <c r="Z323" s="824"/>
      <c r="AB323" s="349"/>
    </row>
    <row r="324" spans="1:37" s="348" customFormat="1" ht="15" customHeight="1" x14ac:dyDescent="0.25">
      <c r="A324" s="626"/>
      <c r="B324" s="626"/>
      <c r="C324" s="834"/>
      <c r="D324" s="834"/>
      <c r="E324" s="312"/>
      <c r="F324" s="317"/>
      <c r="G324" s="919"/>
      <c r="H324" s="312"/>
      <c r="I324" s="919"/>
      <c r="J324" s="312"/>
      <c r="K324" s="919"/>
      <c r="L324" s="312"/>
      <c r="M324" s="919"/>
      <c r="N324" s="312"/>
      <c r="O324" s="919"/>
      <c r="P324" s="216"/>
      <c r="Q324" s="919"/>
      <c r="R324" s="216"/>
      <c r="S324" s="919"/>
      <c r="T324" s="216"/>
      <c r="U324" s="921"/>
      <c r="V324" s="216"/>
      <c r="W324" s="919">
        <f t="shared" si="83"/>
        <v>0</v>
      </c>
      <c r="X324" s="671"/>
      <c r="Y324" s="467"/>
      <c r="Z324" s="824"/>
      <c r="AB324" s="349"/>
    </row>
    <row r="325" spans="1:37" s="348" customFormat="1" ht="15" customHeight="1" x14ac:dyDescent="0.25">
      <c r="A325" s="626"/>
      <c r="B325" s="626"/>
      <c r="C325" s="834"/>
      <c r="D325" s="834"/>
      <c r="E325" s="312"/>
      <c r="F325" s="317"/>
      <c r="G325" s="919"/>
      <c r="H325" s="312"/>
      <c r="I325" s="919"/>
      <c r="J325" s="312"/>
      <c r="K325" s="919"/>
      <c r="L325" s="312"/>
      <c r="M325" s="919"/>
      <c r="N325" s="312"/>
      <c r="O325" s="919"/>
      <c r="P325" s="216"/>
      <c r="Q325" s="919"/>
      <c r="R325" s="216"/>
      <c r="S325" s="919"/>
      <c r="T325" s="216"/>
      <c r="U325" s="921"/>
      <c r="V325" s="216"/>
      <c r="W325" s="919">
        <f t="shared" si="83"/>
        <v>0</v>
      </c>
      <c r="X325" s="671"/>
      <c r="Y325" s="467"/>
      <c r="Z325" s="824"/>
      <c r="AB325" s="349"/>
    </row>
    <row r="326" spans="1:37" s="348" customFormat="1" ht="14.25" customHeight="1" thickBot="1" x14ac:dyDescent="0.3">
      <c r="A326" s="626"/>
      <c r="B326" s="626"/>
      <c r="C326" s="834"/>
      <c r="D326" s="834"/>
      <c r="E326" s="312"/>
      <c r="F326" s="312"/>
      <c r="G326" s="919"/>
      <c r="H326" s="312"/>
      <c r="I326" s="919"/>
      <c r="J326" s="312"/>
      <c r="K326" s="919"/>
      <c r="L326" s="312"/>
      <c r="M326" s="919"/>
      <c r="N326" s="312"/>
      <c r="O326" s="919"/>
      <c r="P326" s="216"/>
      <c r="Q326" s="919"/>
      <c r="R326" s="216"/>
      <c r="S326" s="919"/>
      <c r="T326" s="216"/>
      <c r="U326" s="922"/>
      <c r="V326" s="216"/>
      <c r="W326" s="919">
        <f t="shared" si="83"/>
        <v>0</v>
      </c>
      <c r="X326" s="649"/>
      <c r="Y326" s="467"/>
      <c r="Z326" s="312"/>
      <c r="AB326" s="349"/>
    </row>
    <row r="327" spans="1:37" s="348" customFormat="1" ht="14.25" hidden="1" customHeight="1" x14ac:dyDescent="0.25">
      <c r="A327" s="626"/>
      <c r="B327" s="626"/>
      <c r="C327" s="818" t="s">
        <v>507</v>
      </c>
      <c r="D327" s="818" t="s">
        <v>508</v>
      </c>
      <c r="E327" s="237"/>
      <c r="F327" s="237"/>
      <c r="G327" s="648">
        <v>0</v>
      </c>
      <c r="H327" s="237"/>
      <c r="I327" s="648">
        <v>0</v>
      </c>
      <c r="J327" s="237"/>
      <c r="K327" s="648">
        <v>0</v>
      </c>
      <c r="L327" s="237"/>
      <c r="M327" s="648">
        <v>0</v>
      </c>
      <c r="N327" s="237"/>
      <c r="O327" s="648">
        <v>0</v>
      </c>
      <c r="P327" s="198"/>
      <c r="Q327" s="648">
        <v>0</v>
      </c>
      <c r="R327" s="198"/>
      <c r="S327" s="648">
        <v>0</v>
      </c>
      <c r="T327" s="662">
        <f>R327+P327+N327+L327</f>
        <v>0</v>
      </c>
      <c r="U327" s="934">
        <f t="shared" ref="U327:U330" si="84">M327+O327+Q327+S327</f>
        <v>0</v>
      </c>
      <c r="V327" s="662">
        <f>H327+T327</f>
        <v>0</v>
      </c>
      <c r="W327" s="866">
        <f>SUM(I327+U327)</f>
        <v>0</v>
      </c>
      <c r="X327" s="340"/>
      <c r="Y327" s="337"/>
      <c r="Z327" s="796" t="s">
        <v>339</v>
      </c>
      <c r="AB327" s="349"/>
    </row>
    <row r="328" spans="1:37" s="348" customFormat="1" ht="130.5" hidden="1" customHeight="1" x14ac:dyDescent="0.25">
      <c r="A328" s="626"/>
      <c r="B328" s="626"/>
      <c r="C328" s="819"/>
      <c r="D328" s="819"/>
      <c r="E328" s="307"/>
      <c r="F328" s="307" t="s">
        <v>345</v>
      </c>
      <c r="G328" s="649"/>
      <c r="H328" s="307"/>
      <c r="I328" s="649"/>
      <c r="J328" s="307"/>
      <c r="K328" s="649"/>
      <c r="L328" s="307"/>
      <c r="M328" s="649"/>
      <c r="N328" s="307"/>
      <c r="O328" s="649"/>
      <c r="P328" s="199"/>
      <c r="Q328" s="649"/>
      <c r="R328" s="199"/>
      <c r="S328" s="649"/>
      <c r="T328" s="199"/>
      <c r="U328" s="935">
        <f t="shared" si="84"/>
        <v>0</v>
      </c>
      <c r="V328" s="199"/>
      <c r="W328" s="919"/>
      <c r="X328" s="649"/>
      <c r="Y328" s="468"/>
      <c r="Z328" s="824"/>
      <c r="AB328" s="349"/>
    </row>
    <row r="329" spans="1:37" s="348" customFormat="1" ht="15" hidden="1" customHeight="1" x14ac:dyDescent="0.25">
      <c r="A329" s="626"/>
      <c r="B329" s="626"/>
      <c r="C329" s="818" t="s">
        <v>509</v>
      </c>
      <c r="D329" s="818" t="s">
        <v>510</v>
      </c>
      <c r="E329" s="237">
        <v>11</v>
      </c>
      <c r="F329" s="237"/>
      <c r="G329" s="648">
        <v>332000000</v>
      </c>
      <c r="H329" s="237">
        <v>2</v>
      </c>
      <c r="I329" s="648">
        <v>132609000</v>
      </c>
      <c r="J329" s="237"/>
      <c r="K329" s="648">
        <v>0</v>
      </c>
      <c r="L329" s="237"/>
      <c r="M329" s="648">
        <v>0</v>
      </c>
      <c r="N329" s="237"/>
      <c r="O329" s="648">
        <v>0</v>
      </c>
      <c r="P329" s="198"/>
      <c r="Q329" s="648">
        <v>0</v>
      </c>
      <c r="R329" s="198"/>
      <c r="S329" s="648">
        <v>0</v>
      </c>
      <c r="T329" s="662">
        <f>R329+P329+N329+L329</f>
        <v>0</v>
      </c>
      <c r="U329" s="936">
        <f t="shared" si="84"/>
        <v>0</v>
      </c>
      <c r="V329" s="662">
        <f>H329+T329</f>
        <v>2</v>
      </c>
      <c r="W329" s="866">
        <f>SUM(I329+U329)</f>
        <v>132609000</v>
      </c>
      <c r="X329" s="340">
        <f>V329/E329*100%</f>
        <v>0.18181818181818182</v>
      </c>
      <c r="Y329" s="337">
        <f>W329/G329*100/100</f>
        <v>0.39942469879518072</v>
      </c>
      <c r="Z329" s="796" t="s">
        <v>339</v>
      </c>
      <c r="AB329" s="349"/>
    </row>
    <row r="330" spans="1:37" s="348" customFormat="1" ht="81" hidden="1" customHeight="1" thickBot="1" x14ac:dyDescent="0.3">
      <c r="A330" s="626"/>
      <c r="B330" s="626"/>
      <c r="C330" s="819"/>
      <c r="D330" s="819"/>
      <c r="E330" s="307"/>
      <c r="F330" s="307" t="s">
        <v>239</v>
      </c>
      <c r="G330" s="649"/>
      <c r="H330" s="307" t="s">
        <v>259</v>
      </c>
      <c r="I330" s="649"/>
      <c r="J330" s="307"/>
      <c r="K330" s="649"/>
      <c r="L330" s="307"/>
      <c r="M330" s="649"/>
      <c r="N330" s="307"/>
      <c r="O330" s="649"/>
      <c r="P330" s="199"/>
      <c r="Q330" s="649"/>
      <c r="R330" s="199"/>
      <c r="S330" s="649"/>
      <c r="T330" s="199"/>
      <c r="U330" s="937">
        <f t="shared" si="84"/>
        <v>0</v>
      </c>
      <c r="V330" s="199"/>
      <c r="W330" s="919"/>
      <c r="X330" s="649">
        <f ca="1">X328:X330</f>
        <v>0</v>
      </c>
      <c r="Y330" s="468"/>
      <c r="Z330" s="824"/>
      <c r="AB330" s="349"/>
      <c r="AJ330" s="348" t="s">
        <v>515</v>
      </c>
      <c r="AK330" s="422">
        <f>SUM(AJ331:AJ333)</f>
        <v>2330805800</v>
      </c>
    </row>
    <row r="331" spans="1:37" s="348" customFormat="1" ht="14.4" thickBot="1" x14ac:dyDescent="0.3">
      <c r="A331" s="210"/>
      <c r="B331" s="210"/>
      <c r="C331" s="210"/>
      <c r="D331" s="233"/>
      <c r="E331" s="469">
        <f>E311+E258+E226+E182+E165+E160+E149+E112+E95+E13</f>
        <v>6.2088000000000001</v>
      </c>
      <c r="F331" s="210"/>
      <c r="G331" s="234">
        <f>G311+G258+G224+G182+G165+G160+G149+G112+G95+G13</f>
        <v>59750405401</v>
      </c>
      <c r="H331" s="210">
        <f>H311+H258+H226+H182+H165+H160+H149+H112+H95+H13</f>
        <v>6.0611999999999995</v>
      </c>
      <c r="I331" s="234">
        <f>I311+I258+I224+I182+I165+I160+I149+I112+I95+I13</f>
        <v>7367139172</v>
      </c>
      <c r="J331" s="210"/>
      <c r="K331" s="234">
        <f>K311+K258+K224+K182+K165+K149+K112+K95+K13</f>
        <v>15722927065</v>
      </c>
      <c r="L331" s="249"/>
      <c r="M331" s="234">
        <f>M311+M258+M224+M182+M165+M149+M112+M95+M13</f>
        <v>1476450272</v>
      </c>
      <c r="N331" s="210"/>
      <c r="O331" s="234">
        <f>O311+O258+O224+O182+O165+O160+O13+O149+O112+O95</f>
        <v>1008729405</v>
      </c>
      <c r="P331" s="235"/>
      <c r="Q331" s="234">
        <f>Q311+Q258+Q224+Q13+Q95+Q112+Q149+Q160+Q165+Q182</f>
        <v>5659779656</v>
      </c>
      <c r="R331" s="235"/>
      <c r="S331" s="234">
        <f>S311+S13+S95+S112+S149+S160+S165+S182+S224+S258</f>
        <v>6448520281</v>
      </c>
      <c r="T331" s="248"/>
      <c r="U331" s="234">
        <f>M331+O331+Q331+S331</f>
        <v>14593479614</v>
      </c>
      <c r="V331" s="470">
        <f>H331+T331</f>
        <v>6.0611999999999995</v>
      </c>
      <c r="W331" s="234">
        <f>W13+W95+W112+W149+W160+W165+W182+W224+W258+W311</f>
        <v>21960618786</v>
      </c>
      <c r="X331" s="471">
        <f>X311+X258+X224+X182+X165+X149+X112+X95+X13+X160</f>
        <v>1411.1791840948722</v>
      </c>
      <c r="Y331" s="471">
        <f>Y311+Y258+Y224+Y182+Y165+Y149+Y112+Y95+Y13+Y160</f>
        <v>439.25975852876155</v>
      </c>
      <c r="Z331" s="719"/>
      <c r="AB331" s="349"/>
      <c r="AI331" s="348" t="s">
        <v>512</v>
      </c>
      <c r="AJ331" s="422">
        <f>494000000+23500000+194856000+159999800+124540000+164260800</f>
        <v>1161156600</v>
      </c>
    </row>
    <row r="332" spans="1:37" s="348" customFormat="1" ht="14.4" thickBot="1" x14ac:dyDescent="0.3">
      <c r="A332" s="339"/>
      <c r="B332" s="472"/>
      <c r="C332" s="244"/>
      <c r="D332" s="245"/>
      <c r="E332" s="244"/>
      <c r="F332" s="244"/>
      <c r="G332" s="246"/>
      <c r="H332" s="244"/>
      <c r="I332" s="246"/>
      <c r="J332" s="244"/>
      <c r="K332" s="246"/>
      <c r="L332" s="244"/>
      <c r="M332" s="246"/>
      <c r="N332" s="244"/>
      <c r="O332" s="246"/>
      <c r="P332" s="247"/>
      <c r="Q332" s="246"/>
      <c r="R332" s="247"/>
      <c r="S332" s="246"/>
      <c r="T332" s="247"/>
      <c r="U332" s="932" t="s">
        <v>366</v>
      </c>
      <c r="V332" s="932"/>
      <c r="W332" s="933"/>
      <c r="X332" s="473">
        <f>V331/E331*100</f>
        <v>97.622729029764201</v>
      </c>
      <c r="Y332" s="471">
        <f>SUM(W331/G331*100)</f>
        <v>36.753924326733454</v>
      </c>
      <c r="Z332" s="720"/>
      <c r="AB332" s="349"/>
      <c r="AI332" s="348" t="s">
        <v>513</v>
      </c>
      <c r="AJ332" s="422">
        <f>70000000+40000000+479649400+40000000+70000000+49999800</f>
        <v>749649200</v>
      </c>
    </row>
    <row r="333" spans="1:37" s="348" customFormat="1" ht="14.4" thickBot="1" x14ac:dyDescent="0.3">
      <c r="A333" s="339"/>
      <c r="B333" s="472"/>
      <c r="C333" s="244"/>
      <c r="D333" s="245"/>
      <c r="E333" s="244"/>
      <c r="F333" s="244"/>
      <c r="G333" s="246"/>
      <c r="H333" s="244"/>
      <c r="I333" s="246"/>
      <c r="J333" s="244"/>
      <c r="K333" s="246"/>
      <c r="L333" s="244"/>
      <c r="M333" s="246"/>
      <c r="N333" s="244"/>
      <c r="O333" s="246"/>
      <c r="P333" s="247"/>
      <c r="Q333" s="246"/>
      <c r="R333" s="247"/>
      <c r="S333" s="246"/>
      <c r="T333" s="247"/>
      <c r="U333" s="932" t="s">
        <v>367</v>
      </c>
      <c r="V333" s="932"/>
      <c r="W333" s="933"/>
      <c r="X333" s="474"/>
      <c r="Y333" s="474"/>
      <c r="Z333" s="720"/>
      <c r="AB333" s="349"/>
      <c r="AI333" s="348" t="s">
        <v>514</v>
      </c>
      <c r="AJ333" s="422">
        <f>50000000+50000000+20000000+50000000+120000000+130000000</f>
        <v>420000000</v>
      </c>
    </row>
    <row r="334" spans="1:37" x14ac:dyDescent="0.25">
      <c r="A334" s="923" t="s">
        <v>530</v>
      </c>
      <c r="B334" s="924"/>
      <c r="C334" s="924"/>
      <c r="D334" s="924"/>
      <c r="E334" s="924"/>
      <c r="F334" s="924"/>
      <c r="G334" s="924"/>
      <c r="H334" s="924"/>
      <c r="I334" s="924"/>
      <c r="J334" s="924"/>
      <c r="K334" s="924"/>
      <c r="L334" s="924"/>
      <c r="M334" s="925"/>
      <c r="N334" s="926"/>
      <c r="O334" s="927"/>
      <c r="P334" s="927"/>
      <c r="Q334" s="927"/>
      <c r="R334" s="927"/>
      <c r="S334" s="927"/>
      <c r="T334" s="927"/>
      <c r="U334" s="927"/>
      <c r="V334" s="927"/>
      <c r="W334" s="927"/>
      <c r="X334" s="927"/>
      <c r="Y334" s="927"/>
      <c r="Z334" s="928"/>
    </row>
    <row r="335" spans="1:37" x14ac:dyDescent="0.25">
      <c r="A335" s="923" t="s">
        <v>531</v>
      </c>
      <c r="B335" s="924"/>
      <c r="C335" s="924"/>
      <c r="D335" s="924"/>
      <c r="E335" s="924"/>
      <c r="F335" s="924"/>
      <c r="G335" s="924"/>
      <c r="H335" s="924"/>
      <c r="I335" s="924"/>
      <c r="J335" s="924"/>
      <c r="K335" s="924"/>
      <c r="L335" s="924"/>
      <c r="M335" s="925"/>
      <c r="N335" s="926"/>
      <c r="O335" s="927"/>
      <c r="P335" s="927"/>
      <c r="Q335" s="927"/>
      <c r="R335" s="927"/>
      <c r="S335" s="927"/>
      <c r="T335" s="927"/>
      <c r="U335" s="927"/>
      <c r="V335" s="927"/>
      <c r="W335" s="927"/>
      <c r="X335" s="927"/>
      <c r="Y335" s="927"/>
      <c r="Z335" s="928"/>
      <c r="AA335" s="476"/>
      <c r="AB335" s="138"/>
    </row>
    <row r="336" spans="1:37" x14ac:dyDescent="0.25">
      <c r="A336" s="923" t="s">
        <v>532</v>
      </c>
      <c r="B336" s="929"/>
      <c r="C336" s="929"/>
      <c r="D336" s="929"/>
      <c r="E336" s="929"/>
      <c r="F336" s="929"/>
      <c r="G336" s="929"/>
      <c r="H336" s="929"/>
      <c r="I336" s="929"/>
      <c r="J336" s="929"/>
      <c r="K336" s="929"/>
      <c r="L336" s="929"/>
      <c r="M336" s="930"/>
      <c r="AA336" s="476"/>
      <c r="AB336" s="130"/>
    </row>
    <row r="337" spans="1:28" x14ac:dyDescent="0.25">
      <c r="A337" s="923" t="s">
        <v>533</v>
      </c>
      <c r="B337" s="929"/>
      <c r="C337" s="929"/>
      <c r="D337" s="929"/>
      <c r="E337" s="929"/>
      <c r="F337" s="929"/>
      <c r="G337" s="929"/>
      <c r="H337" s="929"/>
      <c r="I337" s="929"/>
      <c r="J337" s="929"/>
      <c r="K337" s="929"/>
      <c r="L337" s="929"/>
      <c r="M337" s="930"/>
      <c r="N337" s="926"/>
      <c r="O337" s="927"/>
      <c r="P337" s="927"/>
      <c r="Q337" s="927"/>
      <c r="R337" s="927"/>
      <c r="S337" s="927"/>
      <c r="T337" s="927"/>
      <c r="U337" s="927"/>
      <c r="V337" s="927"/>
      <c r="W337" s="927"/>
      <c r="X337" s="927"/>
      <c r="Y337" s="927"/>
      <c r="Z337" s="928"/>
      <c r="AA337" s="476"/>
      <c r="AB337" s="130"/>
    </row>
    <row r="338" spans="1:28" x14ac:dyDescent="0.25">
      <c r="Q338" s="177"/>
      <c r="U338" s="138"/>
      <c r="V338" s="190"/>
      <c r="AB338" s="130"/>
    </row>
    <row r="339" spans="1:28" x14ac:dyDescent="0.25">
      <c r="D339" s="130"/>
      <c r="P339" s="130"/>
      <c r="R339" s="130"/>
      <c r="T339" s="130"/>
      <c r="V339" s="130"/>
      <c r="Y339" s="130"/>
    </row>
    <row r="340" spans="1:28" x14ac:dyDescent="0.25">
      <c r="E340" s="931" t="s">
        <v>534</v>
      </c>
      <c r="F340" s="931"/>
      <c r="N340" s="192"/>
      <c r="P340" s="138"/>
      <c r="Q340" s="130" t="s">
        <v>535</v>
      </c>
      <c r="R340" s="130"/>
      <c r="T340" s="130"/>
    </row>
    <row r="341" spans="1:28" x14ac:dyDescent="0.25">
      <c r="E341" s="130" t="s">
        <v>543</v>
      </c>
      <c r="F341" s="138"/>
      <c r="N341" s="138"/>
      <c r="P341" s="138"/>
      <c r="Q341" s="130" t="s">
        <v>544</v>
      </c>
      <c r="R341" s="130"/>
      <c r="T341" s="130"/>
    </row>
    <row r="342" spans="1:28" x14ac:dyDescent="0.25">
      <c r="N342" s="193"/>
      <c r="P342" s="138"/>
      <c r="Q342" s="169"/>
      <c r="R342" s="476"/>
      <c r="S342" s="476"/>
      <c r="T342" s="476"/>
      <c r="U342" s="476"/>
    </row>
    <row r="343" spans="1:28" x14ac:dyDescent="0.25">
      <c r="E343" s="130" t="s">
        <v>536</v>
      </c>
      <c r="N343" s="138"/>
      <c r="P343" s="130"/>
      <c r="Q343" s="476" t="s">
        <v>537</v>
      </c>
      <c r="R343" s="476"/>
      <c r="S343" s="476"/>
      <c r="T343" s="476"/>
      <c r="U343" s="476"/>
    </row>
    <row r="344" spans="1:28" x14ac:dyDescent="0.25">
      <c r="E344" s="130" t="s">
        <v>538</v>
      </c>
      <c r="F344" s="194"/>
      <c r="N344" s="193"/>
      <c r="P344" s="193"/>
      <c r="Q344" s="130" t="s">
        <v>539</v>
      </c>
      <c r="R344" s="194"/>
      <c r="S344" s="194"/>
      <c r="T344" s="194"/>
      <c r="U344" s="194"/>
    </row>
    <row r="345" spans="1:28" x14ac:dyDescent="0.25">
      <c r="E345" s="130" t="s">
        <v>539</v>
      </c>
      <c r="N345" s="193"/>
      <c r="P345" s="193"/>
      <c r="R345" s="130"/>
      <c r="T345" s="130"/>
    </row>
    <row r="346" spans="1:28" x14ac:dyDescent="0.25">
      <c r="N346" s="193"/>
      <c r="P346" s="193"/>
      <c r="R346" s="130"/>
      <c r="T346" s="130"/>
    </row>
    <row r="347" spans="1:28" x14ac:dyDescent="0.25">
      <c r="P347" s="130"/>
      <c r="R347" s="130"/>
      <c r="T347" s="130"/>
    </row>
    <row r="348" spans="1:28" x14ac:dyDescent="0.25">
      <c r="P348" s="130"/>
      <c r="R348" s="130"/>
      <c r="T348" s="130"/>
    </row>
    <row r="349" spans="1:28" x14ac:dyDescent="0.3">
      <c r="E349" s="672" t="s">
        <v>346</v>
      </c>
      <c r="F349"/>
      <c r="N349"/>
      <c r="O349"/>
      <c r="P349"/>
      <c r="Q349" s="672" t="s">
        <v>548</v>
      </c>
      <c r="R349"/>
      <c r="S349"/>
      <c r="T349"/>
      <c r="U349"/>
    </row>
    <row r="350" spans="1:28" x14ac:dyDescent="0.3">
      <c r="E350" s="673" t="s">
        <v>347</v>
      </c>
      <c r="F350"/>
      <c r="N350"/>
      <c r="O350"/>
      <c r="P350"/>
      <c r="Q350" s="673" t="s">
        <v>540</v>
      </c>
      <c r="R350"/>
      <c r="S350"/>
      <c r="T350"/>
      <c r="U350"/>
    </row>
    <row r="351" spans="1:28" x14ac:dyDescent="0.3">
      <c r="E351" s="673" t="s">
        <v>541</v>
      </c>
      <c r="F351"/>
      <c r="N351"/>
      <c r="O351"/>
      <c r="P351"/>
      <c r="Q351" s="673" t="s">
        <v>542</v>
      </c>
      <c r="R351"/>
      <c r="S351"/>
      <c r="T351"/>
      <c r="U351"/>
    </row>
  </sheetData>
  <mergeCells count="685">
    <mergeCell ref="J297:K297"/>
    <mergeCell ref="L297:M297"/>
    <mergeCell ref="N297:O297"/>
    <mergeCell ref="P297:Q297"/>
    <mergeCell ref="R297:S297"/>
    <mergeCell ref="T297:U297"/>
    <mergeCell ref="V297:W297"/>
    <mergeCell ref="X297:Y297"/>
    <mergeCell ref="A293:A296"/>
    <mergeCell ref="B293:B296"/>
    <mergeCell ref="C293:C296"/>
    <mergeCell ref="D293:D296"/>
    <mergeCell ref="E293:G295"/>
    <mergeCell ref="H293:I295"/>
    <mergeCell ref="J293:K295"/>
    <mergeCell ref="L293:S293"/>
    <mergeCell ref="T293:U295"/>
    <mergeCell ref="L294:M295"/>
    <mergeCell ref="N294:O295"/>
    <mergeCell ref="P294:Q295"/>
    <mergeCell ref="R294:S295"/>
    <mergeCell ref="T199:U199"/>
    <mergeCell ref="V199:W199"/>
    <mergeCell ref="X199:Y199"/>
    <mergeCell ref="A252:A255"/>
    <mergeCell ref="B252:B255"/>
    <mergeCell ref="C252:C255"/>
    <mergeCell ref="D252:D255"/>
    <mergeCell ref="E252:G254"/>
    <mergeCell ref="H252:I254"/>
    <mergeCell ref="J252:K254"/>
    <mergeCell ref="L252:S252"/>
    <mergeCell ref="T252:U254"/>
    <mergeCell ref="V252:W254"/>
    <mergeCell ref="X252:Y254"/>
    <mergeCell ref="L253:M254"/>
    <mergeCell ref="N253:O254"/>
    <mergeCell ref="P253:Q254"/>
    <mergeCell ref="R253:S254"/>
    <mergeCell ref="A195:A198"/>
    <mergeCell ref="B195:B198"/>
    <mergeCell ref="C195:C198"/>
    <mergeCell ref="D195:D198"/>
    <mergeCell ref="E195:G197"/>
    <mergeCell ref="H195:I197"/>
    <mergeCell ref="J195:K197"/>
    <mergeCell ref="L195:S195"/>
    <mergeCell ref="T195:U197"/>
    <mergeCell ref="L196:M197"/>
    <mergeCell ref="N196:O197"/>
    <mergeCell ref="P196:Q197"/>
    <mergeCell ref="R196:S197"/>
    <mergeCell ref="V138:W140"/>
    <mergeCell ref="X138:Y140"/>
    <mergeCell ref="Z138:Z141"/>
    <mergeCell ref="L139:M140"/>
    <mergeCell ref="N139:O140"/>
    <mergeCell ref="P139:Q140"/>
    <mergeCell ref="R139:S140"/>
    <mergeCell ref="E142:G142"/>
    <mergeCell ref="H142:I142"/>
    <mergeCell ref="J142:K142"/>
    <mergeCell ref="L142:M142"/>
    <mergeCell ref="N142:O142"/>
    <mergeCell ref="P142:Q142"/>
    <mergeCell ref="R142:S142"/>
    <mergeCell ref="T142:U142"/>
    <mergeCell ref="V142:W142"/>
    <mergeCell ref="X142:Y142"/>
    <mergeCell ref="A138:A141"/>
    <mergeCell ref="B138:B141"/>
    <mergeCell ref="C138:C141"/>
    <mergeCell ref="D138:D141"/>
    <mergeCell ref="E138:G140"/>
    <mergeCell ref="H138:I140"/>
    <mergeCell ref="J138:K140"/>
    <mergeCell ref="L138:S138"/>
    <mergeCell ref="T138:U140"/>
    <mergeCell ref="V86:W88"/>
    <mergeCell ref="X86:Y88"/>
    <mergeCell ref="Z86:Z89"/>
    <mergeCell ref="L87:M88"/>
    <mergeCell ref="N87:O88"/>
    <mergeCell ref="P87:Q88"/>
    <mergeCell ref="R87:S88"/>
    <mergeCell ref="E90:G90"/>
    <mergeCell ref="H90:I90"/>
    <mergeCell ref="J90:K90"/>
    <mergeCell ref="L90:M90"/>
    <mergeCell ref="N90:O90"/>
    <mergeCell ref="P90:Q90"/>
    <mergeCell ref="R90:S90"/>
    <mergeCell ref="T90:U90"/>
    <mergeCell ref="V90:W90"/>
    <mergeCell ref="X90:Y90"/>
    <mergeCell ref="A86:A89"/>
    <mergeCell ref="B86:B89"/>
    <mergeCell ref="C86:C89"/>
    <mergeCell ref="D86:D89"/>
    <mergeCell ref="E86:G88"/>
    <mergeCell ref="H86:I88"/>
    <mergeCell ref="J86:K88"/>
    <mergeCell ref="L86:S86"/>
    <mergeCell ref="T86:U88"/>
    <mergeCell ref="U332:W332"/>
    <mergeCell ref="U333:W333"/>
    <mergeCell ref="C327:C328"/>
    <mergeCell ref="D327:D328"/>
    <mergeCell ref="U327:U328"/>
    <mergeCell ref="W327:W328"/>
    <mergeCell ref="Z327:Z328"/>
    <mergeCell ref="C329:C330"/>
    <mergeCell ref="D329:D330"/>
    <mergeCell ref="U329:U330"/>
    <mergeCell ref="W329:W330"/>
    <mergeCell ref="Z329:Z330"/>
    <mergeCell ref="A334:M334"/>
    <mergeCell ref="N334:Z334"/>
    <mergeCell ref="A335:M335"/>
    <mergeCell ref="N335:Z335"/>
    <mergeCell ref="A336:M336"/>
    <mergeCell ref="N337:Z337"/>
    <mergeCell ref="A337:M337"/>
    <mergeCell ref="E340:F340"/>
    <mergeCell ref="O320:O326"/>
    <mergeCell ref="Q320:Q326"/>
    <mergeCell ref="S320:S326"/>
    <mergeCell ref="U320:U326"/>
    <mergeCell ref="W320:W326"/>
    <mergeCell ref="Z320:Z325"/>
    <mergeCell ref="C320:C326"/>
    <mergeCell ref="D320:D326"/>
    <mergeCell ref="G320:G326"/>
    <mergeCell ref="I320:I326"/>
    <mergeCell ref="K320:K326"/>
    <mergeCell ref="M320:M326"/>
    <mergeCell ref="C316:C317"/>
    <mergeCell ref="D316:D317"/>
    <mergeCell ref="U316:U317"/>
    <mergeCell ref="W316:W317"/>
    <mergeCell ref="Z316:Z317"/>
    <mergeCell ref="C318:C319"/>
    <mergeCell ref="D318:D319"/>
    <mergeCell ref="U318:U319"/>
    <mergeCell ref="W318:W319"/>
    <mergeCell ref="Z318:Z319"/>
    <mergeCell ref="O314:O315"/>
    <mergeCell ref="Q314:Q315"/>
    <mergeCell ref="S314:S315"/>
    <mergeCell ref="U314:U315"/>
    <mergeCell ref="W314:W315"/>
    <mergeCell ref="Z314:Z315"/>
    <mergeCell ref="C314:C315"/>
    <mergeCell ref="D314:D315"/>
    <mergeCell ref="G314:G315"/>
    <mergeCell ref="I314:I315"/>
    <mergeCell ref="K314:K315"/>
    <mergeCell ref="M314:M315"/>
    <mergeCell ref="C309:C310"/>
    <mergeCell ref="D309:D310"/>
    <mergeCell ref="Z309:Z310"/>
    <mergeCell ref="C312:C313"/>
    <mergeCell ref="D312:D313"/>
    <mergeCell ref="G312:G313"/>
    <mergeCell ref="I312:I313"/>
    <mergeCell ref="K312:K313"/>
    <mergeCell ref="M312:M313"/>
    <mergeCell ref="Z312:Z313"/>
    <mergeCell ref="C305:C306"/>
    <mergeCell ref="D305:D306"/>
    <mergeCell ref="Z305:Z306"/>
    <mergeCell ref="C307:C308"/>
    <mergeCell ref="D307:D308"/>
    <mergeCell ref="Z307:Z308"/>
    <mergeCell ref="C300:C301"/>
    <mergeCell ref="D300:D301"/>
    <mergeCell ref="Z300:Z301"/>
    <mergeCell ref="C302:C303"/>
    <mergeCell ref="D302:D303"/>
    <mergeCell ref="Z302:Z303"/>
    <mergeCell ref="C273:C274"/>
    <mergeCell ref="D273:D274"/>
    <mergeCell ref="U273:U274"/>
    <mergeCell ref="W273:W274"/>
    <mergeCell ref="Z273:Z274"/>
    <mergeCell ref="C280:C281"/>
    <mergeCell ref="D280:D281"/>
    <mergeCell ref="Z280:Z281"/>
    <mergeCell ref="C298:C299"/>
    <mergeCell ref="D298:D299"/>
    <mergeCell ref="Z298:Z299"/>
    <mergeCell ref="C275:C276"/>
    <mergeCell ref="D275:D276"/>
    <mergeCell ref="U275:U276"/>
    <mergeCell ref="W275:W276"/>
    <mergeCell ref="Z275:Z276"/>
    <mergeCell ref="C278:C279"/>
    <mergeCell ref="D278:D279"/>
    <mergeCell ref="Z278:Z279"/>
    <mergeCell ref="V293:W295"/>
    <mergeCell ref="X293:Y295"/>
    <mergeCell ref="Z293:Z296"/>
    <mergeCell ref="E297:G297"/>
    <mergeCell ref="H297:I297"/>
    <mergeCell ref="C269:C270"/>
    <mergeCell ref="D269:D270"/>
    <mergeCell ref="S269:S270"/>
    <mergeCell ref="Z269:Z270"/>
    <mergeCell ref="C271:C272"/>
    <mergeCell ref="D271:D272"/>
    <mergeCell ref="I271:I272"/>
    <mergeCell ref="K271:K272"/>
    <mergeCell ref="M271:M272"/>
    <mergeCell ref="O271:O272"/>
    <mergeCell ref="S271:S272"/>
    <mergeCell ref="U271:U272"/>
    <mergeCell ref="W271:W272"/>
    <mergeCell ref="Z271:Z272"/>
    <mergeCell ref="C261:C262"/>
    <mergeCell ref="D261:D262"/>
    <mergeCell ref="Z261:Z262"/>
    <mergeCell ref="C267:C268"/>
    <mergeCell ref="D267:D268"/>
    <mergeCell ref="Z267:Z268"/>
    <mergeCell ref="C238:C239"/>
    <mergeCell ref="D238:D239"/>
    <mergeCell ref="Z238:Z239"/>
    <mergeCell ref="C259:C260"/>
    <mergeCell ref="D259:D260"/>
    <mergeCell ref="S259:S260"/>
    <mergeCell ref="Z259:Z260"/>
    <mergeCell ref="Z252:Z255"/>
    <mergeCell ref="E256:G256"/>
    <mergeCell ref="H256:I256"/>
    <mergeCell ref="J256:K256"/>
    <mergeCell ref="L256:M256"/>
    <mergeCell ref="N256:O256"/>
    <mergeCell ref="P256:Q256"/>
    <mergeCell ref="R256:S256"/>
    <mergeCell ref="T256:U256"/>
    <mergeCell ref="V256:W256"/>
    <mergeCell ref="X256:Y256"/>
    <mergeCell ref="C234:C235"/>
    <mergeCell ref="D234:D235"/>
    <mergeCell ref="S234:S235"/>
    <mergeCell ref="Z234:Z235"/>
    <mergeCell ref="C236:C237"/>
    <mergeCell ref="D236:D237"/>
    <mergeCell ref="Z236:Z237"/>
    <mergeCell ref="O232:O233"/>
    <mergeCell ref="Q232:Q233"/>
    <mergeCell ref="S232:S233"/>
    <mergeCell ref="U232:U233"/>
    <mergeCell ref="W232:W233"/>
    <mergeCell ref="Z232:Z233"/>
    <mergeCell ref="C230:C231"/>
    <mergeCell ref="D230:D231"/>
    <mergeCell ref="W230:W231"/>
    <mergeCell ref="Z230:Z231"/>
    <mergeCell ref="C232:C233"/>
    <mergeCell ref="D232:D233"/>
    <mergeCell ref="G232:G233"/>
    <mergeCell ref="I232:I233"/>
    <mergeCell ref="K232:K233"/>
    <mergeCell ref="M232:M233"/>
    <mergeCell ref="O228:O229"/>
    <mergeCell ref="Q228:Q229"/>
    <mergeCell ref="S228:S229"/>
    <mergeCell ref="U228:U229"/>
    <mergeCell ref="W228:W229"/>
    <mergeCell ref="Z228:Z229"/>
    <mergeCell ref="C228:C229"/>
    <mergeCell ref="D228:D229"/>
    <mergeCell ref="G228:G229"/>
    <mergeCell ref="I228:I229"/>
    <mergeCell ref="K228:K229"/>
    <mergeCell ref="M228:M229"/>
    <mergeCell ref="C222:C223"/>
    <mergeCell ref="D222:D223"/>
    <mergeCell ref="S222:S223"/>
    <mergeCell ref="Z222:Z223"/>
    <mergeCell ref="C224:C225"/>
    <mergeCell ref="D224:D225"/>
    <mergeCell ref="Z224:Z227"/>
    <mergeCell ref="D226:D227"/>
    <mergeCell ref="F226:F227"/>
    <mergeCell ref="C218:C219"/>
    <mergeCell ref="D218:D219"/>
    <mergeCell ref="Z218:Z219"/>
    <mergeCell ref="C220:C221"/>
    <mergeCell ref="D220:D221"/>
    <mergeCell ref="S220:S221"/>
    <mergeCell ref="Z220:Z221"/>
    <mergeCell ref="C214:C215"/>
    <mergeCell ref="D214:D215"/>
    <mergeCell ref="Z214:Z215"/>
    <mergeCell ref="C216:C217"/>
    <mergeCell ref="D216:D217"/>
    <mergeCell ref="Z216:Z217"/>
    <mergeCell ref="C210:C211"/>
    <mergeCell ref="D210:D211"/>
    <mergeCell ref="S210:S211"/>
    <mergeCell ref="Z210:Z211"/>
    <mergeCell ref="C212:C213"/>
    <mergeCell ref="D212:D213"/>
    <mergeCell ref="S212:S213"/>
    <mergeCell ref="Z212:Z213"/>
    <mergeCell ref="C206:C207"/>
    <mergeCell ref="D206:D207"/>
    <mergeCell ref="Z206:Z207"/>
    <mergeCell ref="C208:C209"/>
    <mergeCell ref="D208:D209"/>
    <mergeCell ref="Z208:Z209"/>
    <mergeCell ref="C202:C203"/>
    <mergeCell ref="D202:D203"/>
    <mergeCell ref="S202:S203"/>
    <mergeCell ref="Z202:Z203"/>
    <mergeCell ref="C204:C205"/>
    <mergeCell ref="D204:D205"/>
    <mergeCell ref="Z204:Z205"/>
    <mergeCell ref="C180:C181"/>
    <mergeCell ref="D180:D181"/>
    <mergeCell ref="S180:S181"/>
    <mergeCell ref="Z180:Z181"/>
    <mergeCell ref="C200:C201"/>
    <mergeCell ref="D200:D201"/>
    <mergeCell ref="Z200:Z201"/>
    <mergeCell ref="V195:W197"/>
    <mergeCell ref="X195:Y197"/>
    <mergeCell ref="Z195:Z198"/>
    <mergeCell ref="E199:G199"/>
    <mergeCell ref="H199:I199"/>
    <mergeCell ref="J199:K199"/>
    <mergeCell ref="L199:M199"/>
    <mergeCell ref="N199:O199"/>
    <mergeCell ref="P199:Q199"/>
    <mergeCell ref="R199:S199"/>
    <mergeCell ref="C176:C177"/>
    <mergeCell ref="D176:D177"/>
    <mergeCell ref="Z176:Z177"/>
    <mergeCell ref="C178:C179"/>
    <mergeCell ref="D178:D179"/>
    <mergeCell ref="Z178:Z179"/>
    <mergeCell ref="C172:C173"/>
    <mergeCell ref="D172:D173"/>
    <mergeCell ref="Z172:Z173"/>
    <mergeCell ref="C174:C175"/>
    <mergeCell ref="D174:D175"/>
    <mergeCell ref="S174:S175"/>
    <mergeCell ref="Z174:Z175"/>
    <mergeCell ref="U168:U169"/>
    <mergeCell ref="W168:W169"/>
    <mergeCell ref="Z168:Z169"/>
    <mergeCell ref="C170:C171"/>
    <mergeCell ref="D170:D171"/>
    <mergeCell ref="S170:S171"/>
    <mergeCell ref="Z170:Z171"/>
    <mergeCell ref="C166:C167"/>
    <mergeCell ref="D166:D167"/>
    <mergeCell ref="Z166:Z167"/>
    <mergeCell ref="C168:C169"/>
    <mergeCell ref="D168:D169"/>
    <mergeCell ref="G168:G169"/>
    <mergeCell ref="M168:M169"/>
    <mergeCell ref="O168:O169"/>
    <mergeCell ref="Q168:Q169"/>
    <mergeCell ref="S168:S169"/>
    <mergeCell ref="C161:C162"/>
    <mergeCell ref="D161:D162"/>
    <mergeCell ref="Z161:Z162"/>
    <mergeCell ref="C163:C164"/>
    <mergeCell ref="D163:D164"/>
    <mergeCell ref="Z163:Z164"/>
    <mergeCell ref="C156:C157"/>
    <mergeCell ref="D156:D157"/>
    <mergeCell ref="Z156:Z157"/>
    <mergeCell ref="C158:C159"/>
    <mergeCell ref="D158:D159"/>
    <mergeCell ref="Z158:Z159"/>
    <mergeCell ref="C152:C153"/>
    <mergeCell ref="D152:D153"/>
    <mergeCell ref="Z152:Z153"/>
    <mergeCell ref="C154:C155"/>
    <mergeCell ref="D154:D155"/>
    <mergeCell ref="Z154:Z155"/>
    <mergeCell ref="C145:C146"/>
    <mergeCell ref="D145:D146"/>
    <mergeCell ref="C147:C148"/>
    <mergeCell ref="D147:D148"/>
    <mergeCell ref="Z147:Z148"/>
    <mergeCell ref="C150:C151"/>
    <mergeCell ref="D150:D151"/>
    <mergeCell ref="Z150:Z151"/>
    <mergeCell ref="O143:O144"/>
    <mergeCell ref="Q143:Q144"/>
    <mergeCell ref="S143:S144"/>
    <mergeCell ref="U143:U144"/>
    <mergeCell ref="W143:W144"/>
    <mergeCell ref="Z143:Z144"/>
    <mergeCell ref="C143:C144"/>
    <mergeCell ref="D143:D144"/>
    <mergeCell ref="G143:G144"/>
    <mergeCell ref="I143:I144"/>
    <mergeCell ref="K143:K144"/>
    <mergeCell ref="M143:M144"/>
    <mergeCell ref="C121:C122"/>
    <mergeCell ref="D121:D122"/>
    <mergeCell ref="Z121:Z122"/>
    <mergeCell ref="C123:C124"/>
    <mergeCell ref="D123:D124"/>
    <mergeCell ref="Z123:Z124"/>
    <mergeCell ref="C117:C118"/>
    <mergeCell ref="D117:D118"/>
    <mergeCell ref="Z117:Z118"/>
    <mergeCell ref="C119:C120"/>
    <mergeCell ref="D119:D120"/>
    <mergeCell ref="I119:I120"/>
    <mergeCell ref="K119:K120"/>
    <mergeCell ref="Z119:Z120"/>
    <mergeCell ref="C113:C114"/>
    <mergeCell ref="D113:D114"/>
    <mergeCell ref="Z113:Z114"/>
    <mergeCell ref="C115:C116"/>
    <mergeCell ref="D115:D116"/>
    <mergeCell ref="Z115:Z116"/>
    <mergeCell ref="C108:C109"/>
    <mergeCell ref="D108:D109"/>
    <mergeCell ref="S108:S109"/>
    <mergeCell ref="Z108:Z109"/>
    <mergeCell ref="C110:C111"/>
    <mergeCell ref="D110:D111"/>
    <mergeCell ref="Z110:Z111"/>
    <mergeCell ref="C104:C105"/>
    <mergeCell ref="D104:D105"/>
    <mergeCell ref="S104:S105"/>
    <mergeCell ref="Z104:Z105"/>
    <mergeCell ref="C106:C107"/>
    <mergeCell ref="D106:D107"/>
    <mergeCell ref="Z106:Z107"/>
    <mergeCell ref="C100:C101"/>
    <mergeCell ref="D100:D101"/>
    <mergeCell ref="F100:F101"/>
    <mergeCell ref="W100:W101"/>
    <mergeCell ref="Z100:Z101"/>
    <mergeCell ref="C102:C103"/>
    <mergeCell ref="D102:D103"/>
    <mergeCell ref="W102:W103"/>
    <mergeCell ref="Z102:Z103"/>
    <mergeCell ref="Q96:Q97"/>
    <mergeCell ref="S96:S97"/>
    <mergeCell ref="U96:U97"/>
    <mergeCell ref="W96:W97"/>
    <mergeCell ref="Z96:Z97"/>
    <mergeCell ref="C98:C99"/>
    <mergeCell ref="D98:D99"/>
    <mergeCell ref="W98:W99"/>
    <mergeCell ref="Z98:Z99"/>
    <mergeCell ref="C96:C97"/>
    <mergeCell ref="D96:D97"/>
    <mergeCell ref="F96:F97"/>
    <mergeCell ref="G96:G97"/>
    <mergeCell ref="M96:M97"/>
    <mergeCell ref="O96:O97"/>
    <mergeCell ref="O91:O92"/>
    <mergeCell ref="Q91:Q92"/>
    <mergeCell ref="U91:U92"/>
    <mergeCell ref="W91:W92"/>
    <mergeCell ref="Z91:Z92"/>
    <mergeCell ref="C93:C94"/>
    <mergeCell ref="D93:D94"/>
    <mergeCell ref="U93:U94"/>
    <mergeCell ref="Z93:Z94"/>
    <mergeCell ref="C91:C92"/>
    <mergeCell ref="D91:D92"/>
    <mergeCell ref="G91:G92"/>
    <mergeCell ref="I91:I92"/>
    <mergeCell ref="K91:K92"/>
    <mergeCell ref="M91:M92"/>
    <mergeCell ref="O80:O81"/>
    <mergeCell ref="Q80:Q81"/>
    <mergeCell ref="U80:U81"/>
    <mergeCell ref="W80:W81"/>
    <mergeCell ref="Z80:Z81"/>
    <mergeCell ref="C82:C83"/>
    <mergeCell ref="D82:D83"/>
    <mergeCell ref="Z82:Z83"/>
    <mergeCell ref="C78:C79"/>
    <mergeCell ref="D78:D79"/>
    <mergeCell ref="W78:W79"/>
    <mergeCell ref="Z78:Z79"/>
    <mergeCell ref="C80:C81"/>
    <mergeCell ref="D80:D81"/>
    <mergeCell ref="G80:G81"/>
    <mergeCell ref="I80:I81"/>
    <mergeCell ref="K80:K81"/>
    <mergeCell ref="M80:M81"/>
    <mergeCell ref="C68:C69"/>
    <mergeCell ref="D68:D69"/>
    <mergeCell ref="W68:W69"/>
    <mergeCell ref="Z68:Z69"/>
    <mergeCell ref="C74:C75"/>
    <mergeCell ref="D74:D75"/>
    <mergeCell ref="W74:W75"/>
    <mergeCell ref="Z74:Z75"/>
    <mergeCell ref="C76:C77"/>
    <mergeCell ref="D76:D77"/>
    <mergeCell ref="W76:W77"/>
    <mergeCell ref="Z76:Z77"/>
    <mergeCell ref="C70:C71"/>
    <mergeCell ref="D70:D71"/>
    <mergeCell ref="W70:W71"/>
    <mergeCell ref="Z70:Z71"/>
    <mergeCell ref="C72:C73"/>
    <mergeCell ref="D72:D73"/>
    <mergeCell ref="W72:W73"/>
    <mergeCell ref="Z72:Z73"/>
    <mergeCell ref="C64:C65"/>
    <mergeCell ref="D64:D65"/>
    <mergeCell ref="W64:W65"/>
    <mergeCell ref="Z64:Z65"/>
    <mergeCell ref="C66:C67"/>
    <mergeCell ref="D66:D67"/>
    <mergeCell ref="G66:G67"/>
    <mergeCell ref="I66:I67"/>
    <mergeCell ref="K66:K67"/>
    <mergeCell ref="M66:M67"/>
    <mergeCell ref="O66:O67"/>
    <mergeCell ref="Q66:Q67"/>
    <mergeCell ref="U66:U67"/>
    <mergeCell ref="W66:W67"/>
    <mergeCell ref="Z66:Z67"/>
    <mergeCell ref="O60:O61"/>
    <mergeCell ref="Q60:Q61"/>
    <mergeCell ref="U60:U61"/>
    <mergeCell ref="W60:W61"/>
    <mergeCell ref="Z60:Z61"/>
    <mergeCell ref="C62:C63"/>
    <mergeCell ref="D62:D63"/>
    <mergeCell ref="W62:W63"/>
    <mergeCell ref="Z62:Z63"/>
    <mergeCell ref="C60:C61"/>
    <mergeCell ref="D60:D61"/>
    <mergeCell ref="G60:G61"/>
    <mergeCell ref="I60:I61"/>
    <mergeCell ref="K60:K61"/>
    <mergeCell ref="M60:M61"/>
    <mergeCell ref="M58:M59"/>
    <mergeCell ref="O58:O59"/>
    <mergeCell ref="Q58:Q59"/>
    <mergeCell ref="U58:U59"/>
    <mergeCell ref="W58:W59"/>
    <mergeCell ref="Z58:Z59"/>
    <mergeCell ref="C58:C59"/>
    <mergeCell ref="D58:D59"/>
    <mergeCell ref="F58:F59"/>
    <mergeCell ref="G58:G59"/>
    <mergeCell ref="I58:I59"/>
    <mergeCell ref="K58:K59"/>
    <mergeCell ref="C54:C55"/>
    <mergeCell ref="D54:D55"/>
    <mergeCell ref="Z54:Z55"/>
    <mergeCell ref="C56:C57"/>
    <mergeCell ref="D56:D57"/>
    <mergeCell ref="G56:G57"/>
    <mergeCell ref="O56:O57"/>
    <mergeCell ref="Q56:Q57"/>
    <mergeCell ref="W56:W57"/>
    <mergeCell ref="Z56:Z57"/>
    <mergeCell ref="C50:C51"/>
    <mergeCell ref="D50:D51"/>
    <mergeCell ref="Z50:Z51"/>
    <mergeCell ref="C52:C53"/>
    <mergeCell ref="D52:D53"/>
    <mergeCell ref="Z52:Z53"/>
    <mergeCell ref="C46:C47"/>
    <mergeCell ref="D46:D47"/>
    <mergeCell ref="Z46:Z47"/>
    <mergeCell ref="C48:C49"/>
    <mergeCell ref="D48:D49"/>
    <mergeCell ref="F48:F49"/>
    <mergeCell ref="I48:I49"/>
    <mergeCell ref="K48:K49"/>
    <mergeCell ref="Z48:Z49"/>
    <mergeCell ref="C42:C43"/>
    <mergeCell ref="D42:D43"/>
    <mergeCell ref="Z42:Z43"/>
    <mergeCell ref="C44:C45"/>
    <mergeCell ref="D44:D45"/>
    <mergeCell ref="Z44:Z45"/>
    <mergeCell ref="C38:C39"/>
    <mergeCell ref="D38:D39"/>
    <mergeCell ref="Z38:Z39"/>
    <mergeCell ref="C40:C41"/>
    <mergeCell ref="D40:D41"/>
    <mergeCell ref="Z40:Z41"/>
    <mergeCell ref="W34:W35"/>
    <mergeCell ref="Z34:Z35"/>
    <mergeCell ref="C36:C37"/>
    <mergeCell ref="D36:D37"/>
    <mergeCell ref="F36:F37"/>
    <mergeCell ref="Z36:Z37"/>
    <mergeCell ref="U30:U31"/>
    <mergeCell ref="W30:W31"/>
    <mergeCell ref="Z30:Z31"/>
    <mergeCell ref="C32:C33"/>
    <mergeCell ref="D32:D33"/>
    <mergeCell ref="U32:U33"/>
    <mergeCell ref="W32:W33"/>
    <mergeCell ref="Z32:Z33"/>
    <mergeCell ref="C30:C31"/>
    <mergeCell ref="D30:D31"/>
    <mergeCell ref="G30:G31"/>
    <mergeCell ref="I30:I31"/>
    <mergeCell ref="K30:K31"/>
    <mergeCell ref="M30:M31"/>
    <mergeCell ref="O30:O31"/>
    <mergeCell ref="Q30:Q31"/>
    <mergeCell ref="C34:C35"/>
    <mergeCell ref="D34:D35"/>
    <mergeCell ref="C26:C27"/>
    <mergeCell ref="D26:D27"/>
    <mergeCell ref="Z26:Z27"/>
    <mergeCell ref="C28:C29"/>
    <mergeCell ref="D28:D29"/>
    <mergeCell ref="I28:I29"/>
    <mergeCell ref="K28:K29"/>
    <mergeCell ref="M28:M29"/>
    <mergeCell ref="O28:O29"/>
    <mergeCell ref="U28:U29"/>
    <mergeCell ref="W28:W29"/>
    <mergeCell ref="Z28:Z29"/>
    <mergeCell ref="C22:C23"/>
    <mergeCell ref="D22:D23"/>
    <mergeCell ref="F22:F23"/>
    <mergeCell ref="Z22:Z23"/>
    <mergeCell ref="C24:C25"/>
    <mergeCell ref="D24:D25"/>
    <mergeCell ref="Z24:Z25"/>
    <mergeCell ref="C18:C19"/>
    <mergeCell ref="D18:D19"/>
    <mergeCell ref="Z18:Z19"/>
    <mergeCell ref="C20:C21"/>
    <mergeCell ref="D20:D21"/>
    <mergeCell ref="Z20:Z21"/>
    <mergeCell ref="Z14:Z15"/>
    <mergeCell ref="C16:C17"/>
    <mergeCell ref="D16:D17"/>
    <mergeCell ref="E16:E17"/>
    <mergeCell ref="F16:F17"/>
    <mergeCell ref="I16:I17"/>
    <mergeCell ref="K16:K17"/>
    <mergeCell ref="Z16:Z17"/>
    <mergeCell ref="P12:Q12"/>
    <mergeCell ref="R12:S12"/>
    <mergeCell ref="T12:U12"/>
    <mergeCell ref="V12:W12"/>
    <mergeCell ref="X12:Y12"/>
    <mergeCell ref="C14:C15"/>
    <mergeCell ref="D14:D15"/>
    <mergeCell ref="E12:G12"/>
    <mergeCell ref="H12:I12"/>
    <mergeCell ref="J12:K12"/>
    <mergeCell ref="L12:M12"/>
    <mergeCell ref="N12:O12"/>
    <mergeCell ref="H8:I10"/>
    <mergeCell ref="J8:K10"/>
    <mergeCell ref="L8:S8"/>
    <mergeCell ref="T8:U10"/>
    <mergeCell ref="A1:Z1"/>
    <mergeCell ref="A2:Z2"/>
    <mergeCell ref="A3:Z3"/>
    <mergeCell ref="A4:Z4"/>
    <mergeCell ref="A5:Z5"/>
    <mergeCell ref="A8:A11"/>
    <mergeCell ref="B8:B11"/>
    <mergeCell ref="C8:C11"/>
    <mergeCell ref="D8:D11"/>
    <mergeCell ref="E8:G10"/>
    <mergeCell ref="Z8:Z11"/>
    <mergeCell ref="L9:M10"/>
    <mergeCell ref="N9:O10"/>
    <mergeCell ref="P9:Q10"/>
    <mergeCell ref="R9:S10"/>
    <mergeCell ref="V8:W10"/>
    <mergeCell ref="X8:Y10"/>
  </mergeCells>
  <pageMargins left="0.32" right="0" top="0.31496062992125984" bottom="0.27559055118110237" header="0.31496062992125984" footer="0.31496062992125984"/>
  <pageSetup paperSize="9" scale="4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TW 3 persub</vt:lpstr>
      <vt:lpstr>Sheet1</vt:lpstr>
      <vt:lpstr>'TW 3 persub'!Print_Area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dinasp3ap2kb.tanjabbarkab@gmail.com</cp:lastModifiedBy>
  <cp:lastPrinted>2025-02-13T05:38:41Z</cp:lastPrinted>
  <dcterms:created xsi:type="dcterms:W3CDTF">2012-04-12T06:57:01Z</dcterms:created>
  <dcterms:modified xsi:type="dcterms:W3CDTF">2025-02-13T05:45:40Z</dcterms:modified>
</cp:coreProperties>
</file>